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omments2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filterPrivacy="1" defaultThemeVersion="124226"/>
  <bookViews>
    <workbookView xWindow="1065" yWindow="1335" windowWidth="14805" windowHeight="8010" tabRatio="611" activeTab="2"/>
  </bookViews>
  <sheets>
    <sheet name="名称表" sheetId="23" r:id="rId1"/>
    <sheet name="卡牌图鉴" sheetId="22" r:id="rId2"/>
    <sheet name="数值规划表" sheetId="21" r:id="rId3"/>
    <sheet name="产销规划表" sheetId="39" r:id="rId4"/>
    <sheet name="monster" sheetId="35" r:id="rId5"/>
    <sheet name="skill" sheetId="36" r:id="rId6"/>
    <sheet name="buff" sheetId="37" r:id="rId7"/>
    <sheet name="progress" sheetId="38" r:id="rId8"/>
    <sheet name="觉醒脑洞" sheetId="40" r:id="rId9"/>
    <sheet name="主角技能" sheetId="41" r:id="rId10"/>
    <sheet name="组队本设计" sheetId="42" r:id="rId11"/>
  </sheets>
  <definedNames>
    <definedName name="_xlnm._FilterDatabase" localSheetId="4">monster!$A$1:$M$606</definedName>
    <definedName name="_xlnm._FilterDatabase" localSheetId="5" hidden="1">skill!$A$1:$R$1068</definedName>
    <definedName name="_xlnm._FilterDatabase" localSheetId="1" hidden="1">卡牌图鉴!$A$1:$AD$64</definedName>
    <definedName name="T攻击范围">数值规划表!$B$7</definedName>
    <definedName name="T攻击系数">数值规划表!$B$8</definedName>
    <definedName name="T血量系数">数值规划表!$B$9</definedName>
    <definedName name="兵种定位">数值规划表!$B$4:$J$4</definedName>
    <definedName name="刺客攻击范围">数值规划表!$D$7</definedName>
    <definedName name="刺客攻击系数">数值规划表!$D$8</definedName>
    <definedName name="刺客血量系数">数值规划表!$D$9</definedName>
    <definedName name="攻击范围">数值规划表!$A$15:$A$18</definedName>
    <definedName name="攻击范围ID">名称表!$H$4:$H$5</definedName>
    <definedName name="攻击目标">数值规划表!$B$24:$D$24</definedName>
    <definedName name="急速攻击系数">数值规划表!$H$19</definedName>
    <definedName name="急速血量系数">数值规划表!$I$19</definedName>
    <definedName name="急速移动速度">数值规划表!$J$19</definedName>
    <definedName name="空军攻击范围">数值规划表!$H$7</definedName>
    <definedName name="空军攻击系数">数值规划表!$H$8</definedName>
    <definedName name="空军血量系数">数值规划表!$H$9</definedName>
    <definedName name="空中堡垒攻击范围">数值规划表!$I$7</definedName>
    <definedName name="空中堡垒攻击系数">数值规划表!$I$8</definedName>
    <definedName name="空中堡垒血量系数">数值规划表!$I$9</definedName>
    <definedName name="快速攻击系数">数值规划表!$H$18</definedName>
    <definedName name="快速血量系数">数值规划表!$I$18</definedName>
    <definedName name="快速移动速度">数值规划表!$J$18</definedName>
    <definedName name="慢速攻击系数">数值规划表!$H$16</definedName>
    <definedName name="慢速血量系数">数值规划表!$I$16</definedName>
    <definedName name="慢速移动速度">数值规划表!$J$16</definedName>
    <definedName name="每级膨胀">数值规划表!$F$57</definedName>
    <definedName name="品质名称">名称表!$A$4:$A$7</definedName>
    <definedName name="射手攻击范围">数值规划表!$F$7</definedName>
    <definedName name="射手攻击系数">数值规划表!$F$8</definedName>
    <definedName name="射手血量系数">数值规划表!$F$9</definedName>
    <definedName name="巫师攻击范围">数值规划表!$G$7</definedName>
    <definedName name="巫师攻击系数">数值规划表!$G$8</definedName>
    <definedName name="巫师血量系数">数值规划表!$G$9</definedName>
    <definedName name="血量调整">数值规划表!$B$2</definedName>
    <definedName name="寻敌范围">名称表!$J$4:$J$7</definedName>
    <definedName name="寻敌范围值">名称表!$K$4:$K$7</definedName>
    <definedName name="移动速度名称">名称表!$D$4:$D$9</definedName>
    <definedName name="游侠攻击范围">数值规划表!$E$7</definedName>
    <definedName name="游侠攻击系数">数值规划表!$E$8</definedName>
    <definedName name="游侠血量系数">数值规划表!$E$9</definedName>
    <definedName name="战士攻击范围">数值规划表!$C$7</definedName>
    <definedName name="战士攻击系数">数值规划表!$C$8</definedName>
    <definedName name="战士血量系数">数值规划表!$C$9</definedName>
    <definedName name="治疗攻击范围">数值规划表!$J$7</definedName>
    <definedName name="治疗攻击系数">数值规划表!$J$8</definedName>
    <definedName name="治疗血量系数">数值规划表!$J$9</definedName>
    <definedName name="中速攻击系数">数值规划表!$H$17</definedName>
    <definedName name="中速血量系数">数值规划表!$I$17</definedName>
    <definedName name="中速移动速度">数值规划表!$J$17</definedName>
  </definedNames>
  <calcPr calcId="162913"/>
</workbook>
</file>

<file path=xl/calcChain.xml><?xml version="1.0" encoding="utf-8"?>
<calcChain xmlns="http://schemas.openxmlformats.org/spreadsheetml/2006/main">
  <c r="L179" i="36" l="1"/>
  <c r="L180" i="36"/>
  <c r="L181" i="36"/>
  <c r="L182" i="36"/>
  <c r="L183" i="36"/>
  <c r="L184" i="36"/>
  <c r="L185" i="36"/>
  <c r="L186" i="36"/>
  <c r="L187" i="36"/>
  <c r="L188" i="36"/>
  <c r="L178" i="36"/>
  <c r="K675" i="35" l="1"/>
  <c r="K676" i="35"/>
  <c r="K674" i="35"/>
  <c r="C77" i="21" l="1"/>
  <c r="AD19" i="22" l="1"/>
  <c r="AD20" i="22"/>
  <c r="AD31" i="22"/>
  <c r="G68" i="36" l="1"/>
  <c r="G69" i="36"/>
  <c r="G70" i="36"/>
  <c r="G71" i="36"/>
  <c r="G72" i="36"/>
  <c r="G73" i="36"/>
  <c r="G74" i="36"/>
  <c r="G75" i="36"/>
  <c r="G76" i="36"/>
  <c r="G77" i="36"/>
  <c r="G78" i="36"/>
  <c r="P79" i="36" l="1"/>
  <c r="P80" i="36"/>
  <c r="P81" i="36"/>
  <c r="P82" i="36"/>
  <c r="P83" i="36"/>
  <c r="P84" i="36"/>
  <c r="P85" i="36"/>
  <c r="P86" i="36"/>
  <c r="P87" i="36"/>
  <c r="P88" i="36"/>
  <c r="P89" i="36"/>
  <c r="L69" i="36" l="1"/>
  <c r="L70" i="36"/>
  <c r="L71" i="36"/>
  <c r="L72" i="36"/>
  <c r="L73" i="36"/>
  <c r="L74" i="36"/>
  <c r="L75" i="36"/>
  <c r="L76" i="36"/>
  <c r="L77" i="36"/>
  <c r="L78" i="36"/>
  <c r="L79" i="36"/>
  <c r="L80" i="36"/>
  <c r="L81" i="36"/>
  <c r="L82" i="36"/>
  <c r="L83" i="36"/>
  <c r="L84" i="36"/>
  <c r="L85" i="36"/>
  <c r="L86" i="36"/>
  <c r="L87" i="36"/>
  <c r="L88" i="36"/>
  <c r="L89" i="36"/>
  <c r="L68" i="36"/>
  <c r="D562" i="38" l="1"/>
  <c r="D561" i="38"/>
  <c r="D560" i="38"/>
  <c r="D559" i="38"/>
  <c r="D558" i="38"/>
  <c r="D557" i="38"/>
  <c r="D556" i="38"/>
  <c r="D555" i="38"/>
  <c r="D554" i="38"/>
  <c r="D553" i="38"/>
  <c r="D552" i="38"/>
  <c r="D551" i="38"/>
  <c r="D550" i="38"/>
  <c r="D549" i="38"/>
  <c r="D548" i="38"/>
  <c r="D547" i="38"/>
  <c r="D546" i="38"/>
  <c r="D545" i="38"/>
  <c r="D544" i="38"/>
  <c r="D543" i="38"/>
  <c r="D542" i="38"/>
  <c r="D541" i="38"/>
  <c r="C541" i="38"/>
  <c r="C542" i="38"/>
  <c r="C543" i="38"/>
  <c r="C544" i="38"/>
  <c r="C545" i="38"/>
  <c r="C546" i="38"/>
  <c r="C547" i="38"/>
  <c r="C548" i="38"/>
  <c r="C549" i="38"/>
  <c r="C550" i="38"/>
  <c r="C551" i="38"/>
  <c r="C552" i="38"/>
  <c r="C553" i="38"/>
  <c r="C554" i="38"/>
  <c r="C555" i="38"/>
  <c r="E555" i="38" s="1"/>
  <c r="C556" i="38"/>
  <c r="C557" i="38"/>
  <c r="C558" i="38"/>
  <c r="C559" i="38"/>
  <c r="C560" i="38"/>
  <c r="C561" i="38"/>
  <c r="C562" i="38"/>
  <c r="E551" i="38" l="1"/>
  <c r="H544" i="38"/>
  <c r="H548" i="38"/>
  <c r="H552" i="38"/>
  <c r="H556" i="38"/>
  <c r="H560" i="38"/>
  <c r="E547" i="38"/>
  <c r="H541" i="38"/>
  <c r="H549" i="38"/>
  <c r="H553" i="38"/>
  <c r="H557" i="38"/>
  <c r="H561" i="38"/>
  <c r="H543" i="38"/>
  <c r="H547" i="38"/>
  <c r="H551" i="38"/>
  <c r="H555" i="38"/>
  <c r="H559" i="38"/>
  <c r="E543" i="38"/>
  <c r="E559" i="38"/>
  <c r="H545" i="38"/>
  <c r="E544" i="38"/>
  <c r="E548" i="38"/>
  <c r="E552" i="38"/>
  <c r="E556" i="38"/>
  <c r="E560" i="38"/>
  <c r="H542" i="38"/>
  <c r="H546" i="38"/>
  <c r="H550" i="38"/>
  <c r="H554" i="38"/>
  <c r="H558" i="38"/>
  <c r="H562" i="38"/>
  <c r="E541" i="38"/>
  <c r="E545" i="38"/>
  <c r="E549" i="38"/>
  <c r="E553" i="38"/>
  <c r="E557" i="38"/>
  <c r="E561" i="38"/>
  <c r="E542" i="38"/>
  <c r="E546" i="38"/>
  <c r="E550" i="38"/>
  <c r="E554" i="38"/>
  <c r="E558" i="38"/>
  <c r="E562" i="38"/>
  <c r="L1189" i="36"/>
  <c r="L1190" i="36"/>
  <c r="L1191" i="36"/>
  <c r="L1192" i="36"/>
  <c r="L1193" i="36"/>
  <c r="L1194" i="36"/>
  <c r="L1195" i="36"/>
  <c r="L1196" i="36"/>
  <c r="L1197" i="36"/>
  <c r="L1198" i="36"/>
  <c r="L1188" i="36"/>
  <c r="L685" i="36" l="1"/>
  <c r="L686" i="36"/>
  <c r="L687" i="36"/>
  <c r="L688" i="36"/>
  <c r="L689" i="36"/>
  <c r="L690" i="36"/>
  <c r="L691" i="36"/>
  <c r="L692" i="36"/>
  <c r="L693" i="36"/>
  <c r="L694" i="36"/>
  <c r="L695" i="36"/>
  <c r="L696" i="36"/>
  <c r="L697" i="36"/>
  <c r="L698" i="36"/>
  <c r="L699" i="36"/>
  <c r="L700" i="36"/>
  <c r="L701" i="36"/>
  <c r="L702" i="36"/>
  <c r="L703" i="36"/>
  <c r="L704" i="36"/>
  <c r="L705" i="36"/>
  <c r="L684" i="36"/>
  <c r="J17" i="21" l="1"/>
  <c r="J18" i="21"/>
  <c r="J19" i="21"/>
  <c r="J20" i="21"/>
  <c r="J21" i="21"/>
  <c r="J16" i="21"/>
  <c r="K1232" i="36" l="1"/>
  <c r="K1233" i="36"/>
  <c r="K1234" i="36"/>
  <c r="K1235" i="36"/>
  <c r="K1236" i="36"/>
  <c r="K1237" i="36"/>
  <c r="K1238" i="36"/>
  <c r="K1239" i="36"/>
  <c r="K1240" i="36"/>
  <c r="K1241" i="36"/>
  <c r="K1242" i="36"/>
  <c r="L333" i="36" l="1"/>
  <c r="L334" i="36"/>
  <c r="L335" i="36"/>
  <c r="L336" i="36"/>
  <c r="L337" i="36"/>
  <c r="L338" i="36"/>
  <c r="L339" i="36"/>
  <c r="L340" i="36"/>
  <c r="L341" i="36"/>
  <c r="L342" i="36"/>
  <c r="L332" i="36"/>
  <c r="K1221" i="36" l="1"/>
  <c r="K1222" i="36"/>
  <c r="K1223" i="36"/>
  <c r="K1224" i="36"/>
  <c r="K1225" i="36"/>
  <c r="K1226" i="36"/>
  <c r="K1227" i="36"/>
  <c r="K1228" i="36"/>
  <c r="K1229" i="36"/>
  <c r="K1230" i="36"/>
  <c r="K1231" i="36"/>
  <c r="I1210" i="36" l="1"/>
  <c r="K1210" i="36"/>
  <c r="P1210" i="36"/>
  <c r="I1211" i="36"/>
  <c r="K1211" i="36"/>
  <c r="P1211" i="36"/>
  <c r="I1212" i="36"/>
  <c r="K1212" i="36"/>
  <c r="P1212" i="36"/>
  <c r="I1213" i="36"/>
  <c r="K1213" i="36"/>
  <c r="P1213" i="36"/>
  <c r="I1214" i="36"/>
  <c r="K1214" i="36"/>
  <c r="P1214" i="36"/>
  <c r="I1215" i="36"/>
  <c r="K1215" i="36"/>
  <c r="P1215" i="36"/>
  <c r="I1216" i="36"/>
  <c r="K1216" i="36"/>
  <c r="P1216" i="36"/>
  <c r="I1217" i="36"/>
  <c r="K1217" i="36"/>
  <c r="P1217" i="36"/>
  <c r="I1218" i="36"/>
  <c r="K1218" i="36"/>
  <c r="P1218" i="36"/>
  <c r="I1219" i="36"/>
  <c r="K1219" i="36"/>
  <c r="P1219" i="36"/>
  <c r="I1220" i="36"/>
  <c r="K1220" i="36"/>
  <c r="P1220" i="36"/>
  <c r="G142" i="42" l="1"/>
  <c r="H142" i="42"/>
  <c r="G143" i="42"/>
  <c r="H143" i="42"/>
  <c r="G144" i="42"/>
  <c r="H144" i="42"/>
  <c r="G136" i="42"/>
  <c r="H134" i="42"/>
  <c r="H135" i="42"/>
  <c r="G134" i="42"/>
  <c r="G135" i="42"/>
  <c r="H125" i="42"/>
  <c r="H126" i="42"/>
  <c r="G126" i="42"/>
  <c r="G127" i="42"/>
  <c r="G125" i="42"/>
  <c r="I1198" i="36" l="1"/>
  <c r="G2" i="36"/>
  <c r="P2" i="36" s="1"/>
  <c r="G3" i="36"/>
  <c r="P3" i="36" s="1"/>
  <c r="G4" i="36"/>
  <c r="P4" i="36" s="1"/>
  <c r="G5" i="36"/>
  <c r="P5" i="36" s="1"/>
  <c r="G6" i="36"/>
  <c r="P6" i="36" s="1"/>
  <c r="G7" i="36"/>
  <c r="P7" i="36" s="1"/>
  <c r="G8" i="36"/>
  <c r="P8" i="36" s="1"/>
  <c r="G9" i="36"/>
  <c r="P9" i="36" s="1"/>
  <c r="G10" i="36"/>
  <c r="P10" i="36" s="1"/>
  <c r="G11" i="36"/>
  <c r="P11" i="36" s="1"/>
  <c r="G12" i="36"/>
  <c r="P12" i="36" s="1"/>
  <c r="G13" i="36"/>
  <c r="P13" i="36" s="1"/>
  <c r="G14" i="36"/>
  <c r="P14" i="36" s="1"/>
  <c r="G15" i="36"/>
  <c r="P15" i="36" s="1"/>
  <c r="G16" i="36"/>
  <c r="P16" i="36" s="1"/>
  <c r="G17" i="36"/>
  <c r="P17" i="36" s="1"/>
  <c r="G18" i="36"/>
  <c r="P18" i="36" s="1"/>
  <c r="G19" i="36"/>
  <c r="P19" i="36" s="1"/>
  <c r="G20" i="36"/>
  <c r="P20" i="36" s="1"/>
  <c r="G21" i="36"/>
  <c r="P21" i="36" s="1"/>
  <c r="G22" i="36"/>
  <c r="P22" i="36" s="1"/>
  <c r="G23" i="36"/>
  <c r="P23" i="36" s="1"/>
  <c r="G24" i="36"/>
  <c r="P24" i="36" s="1"/>
  <c r="G25" i="36"/>
  <c r="P25" i="36" s="1"/>
  <c r="G26" i="36"/>
  <c r="P26" i="36" s="1"/>
  <c r="G27" i="36"/>
  <c r="P27" i="36" s="1"/>
  <c r="G28" i="36"/>
  <c r="P28" i="36" s="1"/>
  <c r="G29" i="36"/>
  <c r="P29" i="36" s="1"/>
  <c r="G30" i="36"/>
  <c r="P30" i="36" s="1"/>
  <c r="G31" i="36"/>
  <c r="P31" i="36" s="1"/>
  <c r="G32" i="36"/>
  <c r="P32" i="36" s="1"/>
  <c r="G33" i="36"/>
  <c r="P33" i="36" s="1"/>
  <c r="G34" i="36"/>
  <c r="P34" i="36" s="1"/>
  <c r="G35" i="36"/>
  <c r="G36" i="36"/>
  <c r="G37" i="36"/>
  <c r="G38" i="36"/>
  <c r="G39" i="36"/>
  <c r="G40" i="36"/>
  <c r="G41" i="36"/>
  <c r="G42" i="36"/>
  <c r="G43" i="36"/>
  <c r="G44" i="36"/>
  <c r="G45" i="36"/>
  <c r="G46" i="36"/>
  <c r="G47" i="36"/>
  <c r="G48" i="36"/>
  <c r="G49" i="36"/>
  <c r="G50" i="36"/>
  <c r="G51" i="36"/>
  <c r="G52" i="36"/>
  <c r="G53" i="36"/>
  <c r="G54" i="36"/>
  <c r="G55" i="36"/>
  <c r="G56" i="36"/>
  <c r="G57" i="36"/>
  <c r="G58" i="36"/>
  <c r="G59" i="36"/>
  <c r="G60" i="36"/>
  <c r="G61" i="36"/>
  <c r="G62" i="36"/>
  <c r="G63" i="36"/>
  <c r="G64" i="36"/>
  <c r="G65" i="36"/>
  <c r="G66" i="36"/>
  <c r="G67" i="36"/>
  <c r="G79" i="36"/>
  <c r="G80" i="36"/>
  <c r="G81" i="36"/>
  <c r="G82" i="36"/>
  <c r="G83" i="36"/>
  <c r="G84" i="36"/>
  <c r="G85" i="36"/>
  <c r="G86" i="36"/>
  <c r="G87" i="36"/>
  <c r="G88" i="36"/>
  <c r="G89" i="36"/>
  <c r="G90" i="36"/>
  <c r="G91" i="36"/>
  <c r="G92" i="36"/>
  <c r="G93" i="36"/>
  <c r="G94" i="36"/>
  <c r="G95" i="36"/>
  <c r="G96" i="36"/>
  <c r="G97" i="36"/>
  <c r="G98" i="36"/>
  <c r="G99" i="36"/>
  <c r="G100" i="36"/>
  <c r="G101" i="36"/>
  <c r="G102" i="36"/>
  <c r="G103" i="36"/>
  <c r="G104" i="36"/>
  <c r="G105" i="36"/>
  <c r="G106" i="36"/>
  <c r="G107" i="36"/>
  <c r="G108" i="36"/>
  <c r="G109" i="36"/>
  <c r="G110" i="36"/>
  <c r="G111" i="36"/>
  <c r="G112" i="36"/>
  <c r="G113" i="36"/>
  <c r="G114" i="36"/>
  <c r="G115" i="36"/>
  <c r="G116" i="36"/>
  <c r="G117" i="36"/>
  <c r="G118" i="36"/>
  <c r="G119" i="36"/>
  <c r="G120" i="36"/>
  <c r="G121" i="36"/>
  <c r="G122" i="36"/>
  <c r="G123" i="36"/>
  <c r="G124" i="36"/>
  <c r="G125" i="36"/>
  <c r="G126" i="36"/>
  <c r="G127" i="36"/>
  <c r="G128" i="36"/>
  <c r="G129" i="36"/>
  <c r="G130" i="36"/>
  <c r="G131" i="36"/>
  <c r="G132" i="36"/>
  <c r="G133" i="36"/>
  <c r="G134" i="36"/>
  <c r="G135" i="36"/>
  <c r="G136" i="36"/>
  <c r="G137" i="36"/>
  <c r="G138" i="36"/>
  <c r="G139" i="36"/>
  <c r="G140" i="36"/>
  <c r="G141" i="36"/>
  <c r="G142" i="36"/>
  <c r="G143" i="36"/>
  <c r="G144" i="36"/>
  <c r="G145" i="36"/>
  <c r="G146" i="36"/>
  <c r="G147" i="36"/>
  <c r="G148" i="36"/>
  <c r="G149" i="36"/>
  <c r="G150" i="36"/>
  <c r="G151" i="36"/>
  <c r="G152" i="36"/>
  <c r="G153" i="36"/>
  <c r="G154" i="36"/>
  <c r="G155" i="36"/>
  <c r="G156" i="36"/>
  <c r="G157" i="36"/>
  <c r="G158" i="36"/>
  <c r="G159" i="36"/>
  <c r="G160" i="36"/>
  <c r="G161" i="36"/>
  <c r="G162" i="36"/>
  <c r="G163" i="36"/>
  <c r="G164" i="36"/>
  <c r="G165" i="36"/>
  <c r="G166" i="36"/>
  <c r="G167" i="36"/>
  <c r="G168" i="36"/>
  <c r="G169" i="36"/>
  <c r="G170" i="36"/>
  <c r="G171" i="36"/>
  <c r="G172" i="36"/>
  <c r="G173" i="36"/>
  <c r="G174" i="36"/>
  <c r="G175" i="36"/>
  <c r="G176" i="36"/>
  <c r="G177" i="36"/>
  <c r="G178" i="36"/>
  <c r="G179" i="36"/>
  <c r="G180" i="36"/>
  <c r="G181" i="36"/>
  <c r="G182" i="36"/>
  <c r="G183" i="36"/>
  <c r="G184" i="36"/>
  <c r="G185" i="36"/>
  <c r="G186" i="36"/>
  <c r="G187" i="36"/>
  <c r="G188" i="36"/>
  <c r="G189" i="36"/>
  <c r="G190" i="36"/>
  <c r="G191" i="36"/>
  <c r="G192" i="36"/>
  <c r="G193" i="36"/>
  <c r="G194" i="36"/>
  <c r="G195" i="36"/>
  <c r="G196" i="36"/>
  <c r="G197" i="36"/>
  <c r="G198" i="36"/>
  <c r="G199" i="36"/>
  <c r="G200" i="36"/>
  <c r="G201" i="36"/>
  <c r="G202" i="36"/>
  <c r="G203" i="36"/>
  <c r="G204" i="36"/>
  <c r="G205" i="36"/>
  <c r="G206" i="36"/>
  <c r="G207" i="36"/>
  <c r="G208" i="36"/>
  <c r="G209" i="36"/>
  <c r="G210" i="36"/>
  <c r="G211" i="36"/>
  <c r="G212" i="36"/>
  <c r="G213" i="36"/>
  <c r="G214" i="36"/>
  <c r="G215" i="36"/>
  <c r="G216" i="36"/>
  <c r="G217" i="36"/>
  <c r="G218" i="36"/>
  <c r="G219" i="36"/>
  <c r="G220" i="36"/>
  <c r="G221" i="36"/>
  <c r="G222" i="36"/>
  <c r="G223" i="36"/>
  <c r="G224" i="36"/>
  <c r="G225" i="36"/>
  <c r="G226" i="36"/>
  <c r="G227" i="36"/>
  <c r="G228" i="36"/>
  <c r="G229" i="36"/>
  <c r="G230" i="36"/>
  <c r="G231" i="36"/>
  <c r="G232" i="36"/>
  <c r="G233" i="36"/>
  <c r="G234" i="36"/>
  <c r="G235" i="36"/>
  <c r="G236" i="36"/>
  <c r="G237" i="36"/>
  <c r="G238" i="36"/>
  <c r="G239" i="36"/>
  <c r="G240" i="36"/>
  <c r="G241" i="36"/>
  <c r="G242" i="36"/>
  <c r="G243" i="36"/>
  <c r="G244" i="36"/>
  <c r="G245" i="36"/>
  <c r="G246" i="36"/>
  <c r="G247" i="36"/>
  <c r="G248" i="36"/>
  <c r="G249" i="36"/>
  <c r="G250" i="36"/>
  <c r="G251" i="36"/>
  <c r="G252" i="36"/>
  <c r="G253" i="36"/>
  <c r="G254" i="36"/>
  <c r="G255" i="36"/>
  <c r="G256" i="36"/>
  <c r="G257" i="36"/>
  <c r="G258" i="36"/>
  <c r="G259" i="36"/>
  <c r="G260" i="36"/>
  <c r="G261" i="36"/>
  <c r="G262" i="36"/>
  <c r="G263" i="36"/>
  <c r="G264" i="36"/>
  <c r="G265" i="36"/>
  <c r="G266" i="36"/>
  <c r="G267" i="36"/>
  <c r="G268" i="36"/>
  <c r="G269" i="36"/>
  <c r="G270" i="36"/>
  <c r="G271" i="36"/>
  <c r="G272" i="36"/>
  <c r="G273" i="36"/>
  <c r="G274" i="36"/>
  <c r="G275" i="36"/>
  <c r="G276" i="36"/>
  <c r="G288" i="36"/>
  <c r="G289" i="36"/>
  <c r="G290" i="36"/>
  <c r="G291" i="36"/>
  <c r="G292" i="36"/>
  <c r="G293" i="36"/>
  <c r="G294" i="36"/>
  <c r="G295" i="36"/>
  <c r="G296" i="36"/>
  <c r="G297" i="36"/>
  <c r="G298" i="36"/>
  <c r="G299" i="36"/>
  <c r="G300" i="36"/>
  <c r="G301" i="36"/>
  <c r="G302" i="36"/>
  <c r="G303" i="36"/>
  <c r="G304" i="36"/>
  <c r="G305" i="36"/>
  <c r="G306" i="36"/>
  <c r="G307" i="36"/>
  <c r="G308" i="36"/>
  <c r="G309" i="36"/>
  <c r="G310" i="36"/>
  <c r="G311" i="36"/>
  <c r="G312" i="36"/>
  <c r="G313" i="36"/>
  <c r="G314" i="36"/>
  <c r="G315" i="36"/>
  <c r="G316" i="36"/>
  <c r="G317" i="36"/>
  <c r="G318" i="36"/>
  <c r="G319" i="36"/>
  <c r="G320" i="36"/>
  <c r="G321" i="36"/>
  <c r="G322" i="36"/>
  <c r="G323" i="36"/>
  <c r="G324" i="36"/>
  <c r="G325" i="36"/>
  <c r="G326" i="36"/>
  <c r="G327" i="36"/>
  <c r="G328" i="36"/>
  <c r="G329" i="36"/>
  <c r="G330" i="36"/>
  <c r="G331" i="36"/>
  <c r="G332" i="36"/>
  <c r="G333" i="36"/>
  <c r="G334" i="36"/>
  <c r="G335" i="36"/>
  <c r="G336" i="36"/>
  <c r="G337" i="36"/>
  <c r="G338" i="36"/>
  <c r="G339" i="36"/>
  <c r="G340" i="36"/>
  <c r="G341" i="36"/>
  <c r="G342" i="36"/>
  <c r="G343" i="36"/>
  <c r="G344" i="36"/>
  <c r="G345" i="36"/>
  <c r="G346" i="36"/>
  <c r="G347" i="36"/>
  <c r="G348" i="36"/>
  <c r="G349" i="36"/>
  <c r="G350" i="36"/>
  <c r="G351" i="36"/>
  <c r="G352" i="36"/>
  <c r="G353" i="36"/>
  <c r="G354" i="36"/>
  <c r="G355" i="36"/>
  <c r="G356" i="36"/>
  <c r="G357" i="36"/>
  <c r="G358" i="36"/>
  <c r="G359" i="36"/>
  <c r="G360" i="36"/>
  <c r="G361" i="36"/>
  <c r="G362" i="36"/>
  <c r="G363" i="36"/>
  <c r="G364" i="36"/>
  <c r="G365" i="36"/>
  <c r="G366" i="36"/>
  <c r="G367" i="36"/>
  <c r="G368" i="36"/>
  <c r="G369" i="36"/>
  <c r="G370" i="36"/>
  <c r="G371" i="36"/>
  <c r="G372" i="36"/>
  <c r="G373" i="36"/>
  <c r="G374" i="36"/>
  <c r="G375" i="36"/>
  <c r="G376" i="36"/>
  <c r="G377" i="36"/>
  <c r="G378" i="36"/>
  <c r="G379" i="36"/>
  <c r="G380" i="36"/>
  <c r="G381" i="36"/>
  <c r="G382" i="36"/>
  <c r="G383" i="36"/>
  <c r="G384" i="36"/>
  <c r="G385" i="36"/>
  <c r="G386" i="36"/>
  <c r="G387" i="36"/>
  <c r="G388" i="36"/>
  <c r="G389" i="36"/>
  <c r="G390" i="36"/>
  <c r="G391" i="36"/>
  <c r="G392" i="36"/>
  <c r="G393" i="36"/>
  <c r="G394" i="36"/>
  <c r="G395" i="36"/>
  <c r="G396" i="36"/>
  <c r="G397" i="36"/>
  <c r="G398" i="36"/>
  <c r="G399" i="36"/>
  <c r="G400" i="36"/>
  <c r="G401" i="36"/>
  <c r="G402" i="36"/>
  <c r="G403" i="36"/>
  <c r="G404" i="36"/>
  <c r="G405" i="36"/>
  <c r="G406" i="36"/>
  <c r="G407" i="36"/>
  <c r="G408" i="36"/>
  <c r="G409" i="36"/>
  <c r="G410" i="36"/>
  <c r="G411" i="36"/>
  <c r="G412" i="36"/>
  <c r="G413" i="36"/>
  <c r="G414" i="36"/>
  <c r="G415" i="36"/>
  <c r="G416" i="36"/>
  <c r="G417" i="36"/>
  <c r="G418" i="36"/>
  <c r="G419" i="36"/>
  <c r="G420" i="36"/>
  <c r="G421" i="36"/>
  <c r="G422" i="36"/>
  <c r="G423" i="36"/>
  <c r="G424" i="36"/>
  <c r="G425" i="36"/>
  <c r="G426" i="36"/>
  <c r="G427" i="36"/>
  <c r="G428" i="36"/>
  <c r="G429" i="36"/>
  <c r="G430" i="36"/>
  <c r="G431" i="36"/>
  <c r="G432" i="36"/>
  <c r="G433" i="36"/>
  <c r="G434" i="36"/>
  <c r="G435" i="36"/>
  <c r="G436" i="36"/>
  <c r="G437" i="36"/>
  <c r="G438" i="36"/>
  <c r="G439" i="36"/>
  <c r="G440" i="36"/>
  <c r="G441" i="36"/>
  <c r="G442" i="36"/>
  <c r="G443" i="36"/>
  <c r="G444" i="36"/>
  <c r="G445" i="36"/>
  <c r="G446" i="36"/>
  <c r="G447" i="36"/>
  <c r="G448" i="36"/>
  <c r="G449" i="36"/>
  <c r="G450" i="36"/>
  <c r="G451" i="36"/>
  <c r="G452" i="36"/>
  <c r="G453" i="36"/>
  <c r="G454" i="36"/>
  <c r="G455" i="36"/>
  <c r="G456" i="36"/>
  <c r="G457" i="36"/>
  <c r="G458" i="36"/>
  <c r="G459" i="36"/>
  <c r="G460" i="36"/>
  <c r="G461" i="36"/>
  <c r="G462" i="36"/>
  <c r="G463" i="36"/>
  <c r="G464" i="36"/>
  <c r="G465" i="36"/>
  <c r="G466" i="36"/>
  <c r="G467" i="36"/>
  <c r="G468" i="36"/>
  <c r="G469" i="36"/>
  <c r="G470" i="36"/>
  <c r="G471" i="36"/>
  <c r="G472" i="36"/>
  <c r="G473" i="36"/>
  <c r="G474" i="36"/>
  <c r="G475" i="36"/>
  <c r="G476" i="36"/>
  <c r="G477" i="36"/>
  <c r="G478" i="36"/>
  <c r="G479" i="36"/>
  <c r="G480" i="36"/>
  <c r="G481" i="36"/>
  <c r="G482" i="36"/>
  <c r="G483" i="36"/>
  <c r="G484" i="36"/>
  <c r="G485" i="36"/>
  <c r="G486" i="36"/>
  <c r="G487" i="36"/>
  <c r="G488" i="36"/>
  <c r="G489" i="36"/>
  <c r="G490" i="36"/>
  <c r="G491" i="36"/>
  <c r="G492" i="36"/>
  <c r="G493" i="36"/>
  <c r="G494" i="36"/>
  <c r="G495" i="36"/>
  <c r="G496" i="36"/>
  <c r="G497" i="36"/>
  <c r="G498" i="36"/>
  <c r="G499" i="36"/>
  <c r="G500" i="36"/>
  <c r="G501" i="36"/>
  <c r="G502" i="36"/>
  <c r="G503" i="36"/>
  <c r="G504" i="36"/>
  <c r="G505" i="36"/>
  <c r="G506" i="36"/>
  <c r="G507" i="36"/>
  <c r="G508" i="36"/>
  <c r="G509" i="36"/>
  <c r="G510" i="36"/>
  <c r="G511" i="36"/>
  <c r="G512" i="36"/>
  <c r="G513" i="36"/>
  <c r="G514" i="36"/>
  <c r="G515" i="36"/>
  <c r="G516" i="36"/>
  <c r="G517" i="36"/>
  <c r="G518" i="36"/>
  <c r="G519" i="36"/>
  <c r="G520" i="36"/>
  <c r="G521" i="36"/>
  <c r="G522" i="36"/>
  <c r="G523" i="36"/>
  <c r="G524" i="36"/>
  <c r="G525" i="36"/>
  <c r="G526" i="36"/>
  <c r="G527" i="36"/>
  <c r="G528" i="36"/>
  <c r="G529" i="36"/>
  <c r="G530" i="36"/>
  <c r="G531" i="36"/>
  <c r="G532" i="36"/>
  <c r="G533" i="36"/>
  <c r="G534" i="36"/>
  <c r="G535" i="36"/>
  <c r="G536" i="36"/>
  <c r="G537" i="36"/>
  <c r="G538" i="36"/>
  <c r="G539" i="36"/>
  <c r="G540" i="36"/>
  <c r="G541" i="36"/>
  <c r="G542" i="36"/>
  <c r="G543" i="36"/>
  <c r="G544" i="36"/>
  <c r="G545" i="36"/>
  <c r="G546" i="36"/>
  <c r="G547" i="36"/>
  <c r="G548" i="36"/>
  <c r="G549" i="36"/>
  <c r="G550" i="36"/>
  <c r="G551" i="36"/>
  <c r="G563" i="36"/>
  <c r="G564" i="36"/>
  <c r="G565" i="36"/>
  <c r="G566" i="36"/>
  <c r="G567" i="36"/>
  <c r="G568" i="36"/>
  <c r="G569" i="36"/>
  <c r="G570" i="36"/>
  <c r="G571" i="36"/>
  <c r="G572" i="36"/>
  <c r="G573" i="36"/>
  <c r="G574" i="36"/>
  <c r="G575" i="36"/>
  <c r="G576" i="36"/>
  <c r="G577" i="36"/>
  <c r="G578" i="36"/>
  <c r="G579" i="36"/>
  <c r="G580" i="36"/>
  <c r="G581" i="36"/>
  <c r="G582" i="36"/>
  <c r="G583" i="36"/>
  <c r="G584" i="36"/>
  <c r="G585" i="36"/>
  <c r="G586" i="36"/>
  <c r="G587" i="36"/>
  <c r="G588" i="36"/>
  <c r="G589" i="36"/>
  <c r="G590" i="36"/>
  <c r="G591" i="36"/>
  <c r="G592" i="36"/>
  <c r="G593" i="36"/>
  <c r="G594" i="36"/>
  <c r="G595" i="36"/>
  <c r="G596" i="36"/>
  <c r="G597" i="36"/>
  <c r="G598" i="36"/>
  <c r="G599" i="36"/>
  <c r="G600" i="36"/>
  <c r="G601" i="36"/>
  <c r="G602" i="36"/>
  <c r="G603" i="36"/>
  <c r="G604" i="36"/>
  <c r="G605" i="36"/>
  <c r="G606" i="36"/>
  <c r="G607" i="36"/>
  <c r="G608" i="36"/>
  <c r="G609" i="36"/>
  <c r="G610" i="36"/>
  <c r="G611" i="36"/>
  <c r="G612" i="36"/>
  <c r="G613" i="36"/>
  <c r="G614" i="36"/>
  <c r="G615" i="36"/>
  <c r="G616" i="36"/>
  <c r="G617" i="36"/>
  <c r="G618" i="36"/>
  <c r="G619" i="36"/>
  <c r="G620" i="36"/>
  <c r="G621" i="36"/>
  <c r="G622" i="36"/>
  <c r="G623" i="36"/>
  <c r="G624" i="36"/>
  <c r="G625" i="36"/>
  <c r="G626" i="36"/>
  <c r="G627" i="36"/>
  <c r="G628" i="36"/>
  <c r="G629" i="36"/>
  <c r="G630" i="36"/>
  <c r="G631" i="36"/>
  <c r="G632" i="36"/>
  <c r="G633" i="36"/>
  <c r="G634" i="36"/>
  <c r="G635" i="36"/>
  <c r="G636" i="36"/>
  <c r="G637" i="36"/>
  <c r="G638" i="36"/>
  <c r="G639" i="36"/>
  <c r="G640" i="36"/>
  <c r="G641" i="36"/>
  <c r="G642" i="36"/>
  <c r="G643" i="36"/>
  <c r="G644" i="36"/>
  <c r="G645" i="36"/>
  <c r="G646" i="36"/>
  <c r="G647" i="36"/>
  <c r="G648" i="36"/>
  <c r="G649" i="36"/>
  <c r="G650" i="36"/>
  <c r="G651" i="36"/>
  <c r="G652" i="36"/>
  <c r="G653" i="36"/>
  <c r="G654" i="36"/>
  <c r="G655" i="36"/>
  <c r="G656" i="36"/>
  <c r="G657" i="36"/>
  <c r="G658" i="36"/>
  <c r="G659" i="36"/>
  <c r="G660" i="36"/>
  <c r="G661" i="36"/>
  <c r="G673" i="36"/>
  <c r="G674" i="36"/>
  <c r="G675" i="36"/>
  <c r="G676" i="36"/>
  <c r="G677" i="36"/>
  <c r="G678" i="36"/>
  <c r="G679" i="36"/>
  <c r="G680" i="36"/>
  <c r="G681" i="36"/>
  <c r="G682" i="36"/>
  <c r="G683" i="36"/>
  <c r="G706" i="36"/>
  <c r="G707" i="36"/>
  <c r="G708" i="36"/>
  <c r="G709" i="36"/>
  <c r="G710" i="36"/>
  <c r="G711" i="36"/>
  <c r="G712" i="36"/>
  <c r="G713" i="36"/>
  <c r="G714" i="36"/>
  <c r="G715" i="36"/>
  <c r="G716" i="36"/>
  <c r="G717" i="36"/>
  <c r="G718" i="36"/>
  <c r="G719" i="36"/>
  <c r="G720" i="36"/>
  <c r="G721" i="36"/>
  <c r="G722" i="36"/>
  <c r="G723" i="36"/>
  <c r="G724" i="36"/>
  <c r="G725" i="36"/>
  <c r="G726" i="36"/>
  <c r="G727" i="36"/>
  <c r="G728" i="36"/>
  <c r="G729" i="36"/>
  <c r="G730" i="36"/>
  <c r="G731" i="36"/>
  <c r="G732" i="36"/>
  <c r="G733" i="36"/>
  <c r="G734" i="36"/>
  <c r="G735" i="36"/>
  <c r="G736" i="36"/>
  <c r="G737" i="36"/>
  <c r="G738" i="36"/>
  <c r="G739" i="36"/>
  <c r="G740" i="36"/>
  <c r="G741" i="36"/>
  <c r="G742" i="36"/>
  <c r="G743" i="36"/>
  <c r="G744" i="36"/>
  <c r="G745" i="36"/>
  <c r="G746" i="36"/>
  <c r="G747" i="36"/>
  <c r="G748" i="36"/>
  <c r="G749" i="36"/>
  <c r="G750" i="36"/>
  <c r="G751" i="36"/>
  <c r="G752" i="36"/>
  <c r="G753" i="36"/>
  <c r="G754" i="36"/>
  <c r="G755" i="36"/>
  <c r="G756" i="36"/>
  <c r="G757" i="36"/>
  <c r="G758" i="36"/>
  <c r="G759" i="36"/>
  <c r="G760" i="36"/>
  <c r="G761" i="36"/>
  <c r="G762" i="36"/>
  <c r="G763" i="36"/>
  <c r="G764" i="36"/>
  <c r="G765" i="36"/>
  <c r="G766" i="36"/>
  <c r="G767" i="36"/>
  <c r="G768" i="36"/>
  <c r="G769" i="36"/>
  <c r="G770" i="36"/>
  <c r="G771" i="36"/>
  <c r="G772" i="36"/>
  <c r="G773" i="36"/>
  <c r="G774" i="36"/>
  <c r="G775" i="36"/>
  <c r="G776" i="36"/>
  <c r="G777" i="36"/>
  <c r="G778" i="36"/>
  <c r="G779" i="36"/>
  <c r="G780" i="36"/>
  <c r="G781" i="36"/>
  <c r="G782" i="36"/>
  <c r="G783" i="36"/>
  <c r="G784" i="36"/>
  <c r="G785" i="36"/>
  <c r="G786" i="36"/>
  <c r="G787" i="36"/>
  <c r="G788" i="36"/>
  <c r="G789" i="36"/>
  <c r="G790" i="36"/>
  <c r="G791" i="36"/>
  <c r="G792" i="36"/>
  <c r="G793" i="36"/>
  <c r="G794" i="36"/>
  <c r="G795" i="36"/>
  <c r="G796" i="36"/>
  <c r="G797" i="36"/>
  <c r="G798" i="36"/>
  <c r="G799" i="36"/>
  <c r="G800" i="36"/>
  <c r="G801" i="36"/>
  <c r="G802" i="36"/>
  <c r="G803" i="36"/>
  <c r="G804" i="36"/>
  <c r="G805" i="36"/>
  <c r="G806" i="36"/>
  <c r="G807" i="36"/>
  <c r="G808" i="36"/>
  <c r="G809" i="36"/>
  <c r="G810" i="36"/>
  <c r="G811" i="36"/>
  <c r="G812" i="36"/>
  <c r="G813" i="36"/>
  <c r="G814" i="36"/>
  <c r="G815" i="36"/>
  <c r="G816" i="36"/>
  <c r="G817" i="36"/>
  <c r="G818" i="36"/>
  <c r="G819" i="36"/>
  <c r="G820" i="36"/>
  <c r="G821" i="36"/>
  <c r="G822" i="36"/>
  <c r="G823" i="36"/>
  <c r="G824" i="36"/>
  <c r="G825" i="36"/>
  <c r="G826" i="36"/>
  <c r="G827" i="36"/>
  <c r="G828" i="36"/>
  <c r="G829" i="36"/>
  <c r="G830" i="36"/>
  <c r="G831" i="36"/>
  <c r="G832" i="36"/>
  <c r="G833" i="36"/>
  <c r="G834" i="36"/>
  <c r="G835" i="36"/>
  <c r="G836" i="36"/>
  <c r="G837" i="36"/>
  <c r="G838" i="36"/>
  <c r="G839" i="36"/>
  <c r="G840" i="36"/>
  <c r="G841" i="36"/>
  <c r="G842" i="36"/>
  <c r="G843" i="36"/>
  <c r="G844" i="36"/>
  <c r="G845" i="36"/>
  <c r="G846" i="36"/>
  <c r="G847" i="36"/>
  <c r="G848" i="36"/>
  <c r="G849" i="36"/>
  <c r="G850" i="36"/>
  <c r="G851" i="36"/>
  <c r="G852" i="36"/>
  <c r="G853" i="36"/>
  <c r="G854" i="36"/>
  <c r="G855" i="36"/>
  <c r="G856" i="36"/>
  <c r="G857" i="36"/>
  <c r="G858" i="36"/>
  <c r="G859" i="36"/>
  <c r="G860" i="36"/>
  <c r="G861" i="36"/>
  <c r="G862" i="36"/>
  <c r="G863" i="36"/>
  <c r="G864" i="36"/>
  <c r="G865" i="36"/>
  <c r="G866" i="36"/>
  <c r="G867" i="36"/>
  <c r="G868" i="36"/>
  <c r="G869" i="36"/>
  <c r="G870" i="36"/>
  <c r="G871" i="36"/>
  <c r="G872" i="36"/>
  <c r="G873" i="36"/>
  <c r="G874" i="36"/>
  <c r="G875" i="36"/>
  <c r="G876" i="36"/>
  <c r="G877" i="36"/>
  <c r="G878" i="36"/>
  <c r="G879" i="36"/>
  <c r="G880" i="36"/>
  <c r="G881" i="36"/>
  <c r="G882" i="36"/>
  <c r="G883" i="36"/>
  <c r="G884" i="36"/>
  <c r="G885" i="36"/>
  <c r="G886" i="36"/>
  <c r="G887" i="36"/>
  <c r="G888" i="36"/>
  <c r="G889" i="36"/>
  <c r="G890" i="36"/>
  <c r="G891" i="36"/>
  <c r="G892" i="36"/>
  <c r="G893" i="36"/>
  <c r="G894" i="36"/>
  <c r="G895" i="36"/>
  <c r="G896" i="36"/>
  <c r="G897" i="36"/>
  <c r="G898" i="36"/>
  <c r="G899" i="36"/>
  <c r="G900" i="36"/>
  <c r="G901" i="36"/>
  <c r="G902" i="36"/>
  <c r="G903" i="36"/>
  <c r="G904" i="36"/>
  <c r="G905" i="36"/>
  <c r="G906" i="36"/>
  <c r="G907" i="36"/>
  <c r="G908" i="36"/>
  <c r="G909" i="36"/>
  <c r="G910" i="36"/>
  <c r="G911" i="36"/>
  <c r="G912" i="36"/>
  <c r="G913" i="36"/>
  <c r="G914" i="36"/>
  <c r="G915" i="36"/>
  <c r="G916" i="36"/>
  <c r="G917" i="36"/>
  <c r="G918" i="36"/>
  <c r="G919" i="36"/>
  <c r="G920" i="36"/>
  <c r="G921" i="36"/>
  <c r="G922" i="36"/>
  <c r="G923" i="36"/>
  <c r="G924" i="36"/>
  <c r="G925" i="36"/>
  <c r="G926" i="36"/>
  <c r="G927" i="36"/>
  <c r="G928" i="36"/>
  <c r="G929" i="36"/>
  <c r="G930" i="36"/>
  <c r="G931" i="36"/>
  <c r="G932" i="36"/>
  <c r="G933" i="36"/>
  <c r="G934" i="36"/>
  <c r="G935" i="36"/>
  <c r="G936" i="36"/>
  <c r="G937" i="36"/>
  <c r="G938" i="36"/>
  <c r="G939" i="36"/>
  <c r="G940" i="36"/>
  <c r="G941" i="36"/>
  <c r="G942" i="36"/>
  <c r="G943" i="36"/>
  <c r="G944" i="36"/>
  <c r="G945" i="36"/>
  <c r="G946" i="36"/>
  <c r="G947" i="36"/>
  <c r="G948" i="36"/>
  <c r="G949" i="36"/>
  <c r="G950" i="36"/>
  <c r="G951" i="36"/>
  <c r="G952" i="36"/>
  <c r="G953" i="36"/>
  <c r="G954" i="36"/>
  <c r="G955" i="36"/>
  <c r="G956" i="36"/>
  <c r="G957" i="36"/>
  <c r="G958" i="36"/>
  <c r="G959" i="36"/>
  <c r="G960" i="36"/>
  <c r="G961" i="36"/>
  <c r="G962" i="36"/>
  <c r="G963" i="36"/>
  <c r="G964" i="36"/>
  <c r="G965" i="36"/>
  <c r="G966" i="36"/>
  <c r="G967" i="36"/>
  <c r="G968" i="36"/>
  <c r="G969" i="36"/>
  <c r="G970" i="36"/>
  <c r="G971" i="36"/>
  <c r="G972" i="36"/>
  <c r="G973" i="36"/>
  <c r="G974" i="36"/>
  <c r="G975" i="36"/>
  <c r="G976" i="36"/>
  <c r="G977" i="36"/>
  <c r="G978" i="36"/>
  <c r="G979" i="36"/>
  <c r="G980" i="36"/>
  <c r="G981" i="36"/>
  <c r="G982" i="36"/>
  <c r="G983" i="36"/>
  <c r="G984" i="36"/>
  <c r="G985" i="36"/>
  <c r="G986" i="36"/>
  <c r="G987" i="36"/>
  <c r="G988" i="36"/>
  <c r="G989" i="36"/>
  <c r="G990" i="36"/>
  <c r="G991" i="36"/>
  <c r="G992" i="36"/>
  <c r="G993" i="36"/>
  <c r="G994" i="36"/>
  <c r="G995" i="36"/>
  <c r="G996" i="36"/>
  <c r="G997" i="36"/>
  <c r="G998" i="36"/>
  <c r="G999" i="36"/>
  <c r="G1000" i="36"/>
  <c r="G1001" i="36"/>
  <c r="G1002" i="36"/>
  <c r="G1003" i="36"/>
  <c r="G1004" i="36"/>
  <c r="G1005" i="36"/>
  <c r="G1006" i="36"/>
  <c r="G1007" i="36"/>
  <c r="G1008" i="36"/>
  <c r="G1009" i="36"/>
  <c r="G1010" i="36"/>
  <c r="G1011" i="36"/>
  <c r="G1012" i="36"/>
  <c r="G1013" i="36"/>
  <c r="G1014" i="36"/>
  <c r="G1015" i="36"/>
  <c r="G1016" i="36"/>
  <c r="G1017" i="36"/>
  <c r="G1018" i="36"/>
  <c r="G1019" i="36"/>
  <c r="G1020" i="36"/>
  <c r="G1021" i="36"/>
  <c r="G1022" i="36"/>
  <c r="G1023" i="36"/>
  <c r="G1024" i="36"/>
  <c r="G1025" i="36"/>
  <c r="G1026" i="36"/>
  <c r="G1027" i="36"/>
  <c r="G1028" i="36"/>
  <c r="G1029" i="36"/>
  <c r="G1030" i="36"/>
  <c r="G1031" i="36"/>
  <c r="G1032" i="36"/>
  <c r="G1033" i="36"/>
  <c r="G1034" i="36"/>
  <c r="G1035" i="36"/>
  <c r="G1036" i="36"/>
  <c r="G1037" i="36"/>
  <c r="G1038" i="36"/>
  <c r="G1039" i="36"/>
  <c r="G1040" i="36"/>
  <c r="G1041" i="36"/>
  <c r="G1042" i="36"/>
  <c r="G1043" i="36"/>
  <c r="G1044" i="36"/>
  <c r="G1045" i="36"/>
  <c r="G1046" i="36"/>
  <c r="G1047" i="36"/>
  <c r="G1048" i="36"/>
  <c r="G1049" i="36"/>
  <c r="G1050" i="36"/>
  <c r="G1051" i="36"/>
  <c r="G1052" i="36"/>
  <c r="G1053" i="36"/>
  <c r="G1054" i="36"/>
  <c r="G1055" i="36"/>
  <c r="G1056" i="36"/>
  <c r="G1057" i="36"/>
  <c r="G1058" i="36"/>
  <c r="G1059" i="36"/>
  <c r="G1060" i="36"/>
  <c r="G1061" i="36"/>
  <c r="G1062" i="36"/>
  <c r="G1063" i="36"/>
  <c r="G1064" i="36"/>
  <c r="G1065" i="36"/>
  <c r="G1066" i="36"/>
  <c r="G1067" i="36"/>
  <c r="G1068" i="36"/>
  <c r="G1069" i="36"/>
  <c r="G1070" i="36"/>
  <c r="G1071" i="36"/>
  <c r="G1072" i="36"/>
  <c r="G1073" i="36"/>
  <c r="G1074" i="36"/>
  <c r="G1075" i="36"/>
  <c r="G1076" i="36"/>
  <c r="G1077" i="36"/>
  <c r="G1078" i="36"/>
  <c r="G1079" i="36"/>
  <c r="G1080" i="36"/>
  <c r="G1081" i="36"/>
  <c r="G1082" i="36"/>
  <c r="G1083" i="36"/>
  <c r="G1084" i="36"/>
  <c r="G1085" i="36"/>
  <c r="G1086" i="36"/>
  <c r="G1087" i="36"/>
  <c r="G1088" i="36"/>
  <c r="G1089" i="36"/>
  <c r="G1090" i="36"/>
  <c r="F105" i="42" l="1"/>
  <c r="B103" i="42" s="1"/>
  <c r="F106" i="42"/>
  <c r="K1177" i="36" l="1"/>
  <c r="K1178" i="36"/>
  <c r="K1179" i="36"/>
  <c r="K1180" i="36"/>
  <c r="K1181" i="36"/>
  <c r="K1182" i="36"/>
  <c r="K1183" i="36"/>
  <c r="K1184" i="36"/>
  <c r="K1185" i="36"/>
  <c r="K1186" i="36"/>
  <c r="K1187" i="36"/>
  <c r="I1188" i="36"/>
  <c r="K1188" i="36"/>
  <c r="I1189" i="36"/>
  <c r="K1189" i="36"/>
  <c r="I1190" i="36"/>
  <c r="K1190" i="36"/>
  <c r="I1191" i="36"/>
  <c r="K1191" i="36"/>
  <c r="I1192" i="36"/>
  <c r="K1192" i="36"/>
  <c r="I1193" i="36"/>
  <c r="K1193" i="36"/>
  <c r="I1194" i="36"/>
  <c r="K1194" i="36"/>
  <c r="I1195" i="36"/>
  <c r="K1195" i="36"/>
  <c r="I1196" i="36"/>
  <c r="K1196" i="36"/>
  <c r="I1197" i="36"/>
  <c r="K1197" i="36"/>
  <c r="K1198" i="36"/>
  <c r="K1199" i="36"/>
  <c r="K1200" i="36"/>
  <c r="K1201" i="36"/>
  <c r="K1202" i="36"/>
  <c r="K1203" i="36"/>
  <c r="K1204" i="36"/>
  <c r="K1205" i="36"/>
  <c r="K1206" i="36"/>
  <c r="K1207" i="36"/>
  <c r="K1208" i="36"/>
  <c r="K1209" i="36"/>
  <c r="J56" i="22"/>
  <c r="J655" i="35" s="1"/>
  <c r="P1191" i="36" s="1"/>
  <c r="J57" i="22"/>
  <c r="J664" i="35" s="1"/>
  <c r="P1200" i="36" s="1"/>
  <c r="K652" i="35"/>
  <c r="M652" i="35"/>
  <c r="K653" i="35"/>
  <c r="M653" i="35"/>
  <c r="K654" i="35"/>
  <c r="M654" i="35"/>
  <c r="K655" i="35"/>
  <c r="M655" i="35"/>
  <c r="K656" i="35"/>
  <c r="M656" i="35"/>
  <c r="K657" i="35"/>
  <c r="M657" i="35"/>
  <c r="K658" i="35"/>
  <c r="M658" i="35"/>
  <c r="K659" i="35"/>
  <c r="M659" i="35"/>
  <c r="K660" i="35"/>
  <c r="M660" i="35"/>
  <c r="K661" i="35"/>
  <c r="M661" i="35"/>
  <c r="K662" i="35"/>
  <c r="M662" i="35"/>
  <c r="K663" i="35"/>
  <c r="M663" i="35"/>
  <c r="K664" i="35"/>
  <c r="M664" i="35"/>
  <c r="K665" i="35"/>
  <c r="M665" i="35"/>
  <c r="K666" i="35"/>
  <c r="M666" i="35"/>
  <c r="K667" i="35"/>
  <c r="M667" i="35"/>
  <c r="K668" i="35"/>
  <c r="M668" i="35"/>
  <c r="K669" i="35"/>
  <c r="M669" i="35"/>
  <c r="K670" i="35"/>
  <c r="M670" i="35"/>
  <c r="K671" i="35"/>
  <c r="M671" i="35"/>
  <c r="K672" i="35"/>
  <c r="M672" i="35"/>
  <c r="K673" i="35"/>
  <c r="M673" i="35"/>
  <c r="D652" i="35"/>
  <c r="D653" i="35"/>
  <c r="D654" i="35"/>
  <c r="D655" i="35"/>
  <c r="D656" i="35"/>
  <c r="D657" i="35"/>
  <c r="D658" i="35"/>
  <c r="D659" i="35"/>
  <c r="D660" i="35"/>
  <c r="D661" i="35"/>
  <c r="D662" i="35"/>
  <c r="D663" i="35"/>
  <c r="D664" i="35"/>
  <c r="D665" i="35"/>
  <c r="D666" i="35"/>
  <c r="D667" i="35"/>
  <c r="D668" i="35"/>
  <c r="D669" i="35"/>
  <c r="D670" i="35"/>
  <c r="D671" i="35"/>
  <c r="D672" i="35"/>
  <c r="D673" i="35"/>
  <c r="AD56" i="22"/>
  <c r="N654" i="35" s="1"/>
  <c r="AD57" i="22"/>
  <c r="N666" i="35" s="1"/>
  <c r="T56" i="22"/>
  <c r="U56" i="22"/>
  <c r="V56" i="22"/>
  <c r="T57" i="22"/>
  <c r="U57" i="22"/>
  <c r="V57" i="22"/>
  <c r="P56" i="22"/>
  <c r="Q56" i="22"/>
  <c r="P57" i="22"/>
  <c r="H56" i="22"/>
  <c r="L652" i="35" s="1"/>
  <c r="H57" i="22"/>
  <c r="L670" i="35" s="1"/>
  <c r="N668" i="35" l="1"/>
  <c r="N664" i="35"/>
  <c r="N672" i="35"/>
  <c r="N660" i="35"/>
  <c r="N652" i="35"/>
  <c r="N671" i="35"/>
  <c r="N667" i="35"/>
  <c r="N663" i="35"/>
  <c r="N659" i="35"/>
  <c r="N655" i="35"/>
  <c r="N673" i="35"/>
  <c r="N669" i="35"/>
  <c r="N665" i="35"/>
  <c r="N661" i="35"/>
  <c r="N657" i="35"/>
  <c r="N653" i="35"/>
  <c r="N656" i="35"/>
  <c r="N670" i="35"/>
  <c r="N662" i="35"/>
  <c r="N658" i="35"/>
  <c r="L672" i="35"/>
  <c r="L671" i="35"/>
  <c r="L669" i="35"/>
  <c r="L668" i="35"/>
  <c r="L667" i="35"/>
  <c r="L666" i="35"/>
  <c r="L665" i="35"/>
  <c r="L664" i="35"/>
  <c r="L663" i="35"/>
  <c r="L662" i="35"/>
  <c r="L661" i="35"/>
  <c r="L660" i="35"/>
  <c r="L659" i="35"/>
  <c r="L658" i="35"/>
  <c r="L657" i="35"/>
  <c r="L656" i="35"/>
  <c r="L655" i="35"/>
  <c r="L654" i="35"/>
  <c r="L653" i="35"/>
  <c r="L673" i="35"/>
  <c r="J670" i="35"/>
  <c r="P1206" i="36" s="1"/>
  <c r="P1180" i="36"/>
  <c r="J672" i="35"/>
  <c r="P1208" i="36" s="1"/>
  <c r="J673" i="35"/>
  <c r="P1209" i="36" s="1"/>
  <c r="J671" i="35"/>
  <c r="P1207" i="36" s="1"/>
  <c r="J667" i="35"/>
  <c r="P1203" i="36" s="1"/>
  <c r="J663" i="35"/>
  <c r="P1199" i="36" s="1"/>
  <c r="J669" i="35"/>
  <c r="P1205" i="36" s="1"/>
  <c r="J666" i="35"/>
  <c r="P1202" i="36" s="1"/>
  <c r="J668" i="35"/>
  <c r="P1204" i="36" s="1"/>
  <c r="J662" i="35"/>
  <c r="J654" i="35"/>
  <c r="J665" i="35"/>
  <c r="P1201" i="36" s="1"/>
  <c r="J661" i="35"/>
  <c r="J657" i="35"/>
  <c r="J653" i="35"/>
  <c r="J658" i="35"/>
  <c r="J660" i="35"/>
  <c r="J656" i="35"/>
  <c r="J652" i="35"/>
  <c r="J659" i="35"/>
  <c r="P1184" i="36" l="1"/>
  <c r="P1195" i="36"/>
  <c r="P1183" i="36"/>
  <c r="P1194" i="36"/>
  <c r="P1188" i="36"/>
  <c r="P1177" i="36"/>
  <c r="P1178" i="36"/>
  <c r="P1189" i="36"/>
  <c r="P1179" i="36"/>
  <c r="P1190" i="36"/>
  <c r="P1192" i="36"/>
  <c r="P1181" i="36"/>
  <c r="P1182" i="36"/>
  <c r="P1193" i="36"/>
  <c r="P1187" i="36"/>
  <c r="P1198" i="36"/>
  <c r="P1196" i="36"/>
  <c r="P1185" i="36"/>
  <c r="P1186" i="36"/>
  <c r="P1197" i="36"/>
  <c r="D540" i="38"/>
  <c r="D539" i="38"/>
  <c r="D538" i="38"/>
  <c r="D537" i="38"/>
  <c r="D536" i="38"/>
  <c r="D535" i="38"/>
  <c r="D534" i="38"/>
  <c r="D533" i="38"/>
  <c r="D532" i="38"/>
  <c r="D531" i="38"/>
  <c r="D530" i="38"/>
  <c r="D529" i="38"/>
  <c r="D528" i="38"/>
  <c r="D527" i="38"/>
  <c r="D526" i="38"/>
  <c r="D525" i="38"/>
  <c r="D524" i="38"/>
  <c r="D523" i="38"/>
  <c r="D522" i="38"/>
  <c r="D521" i="38"/>
  <c r="D520" i="38"/>
  <c r="D519" i="38"/>
  <c r="D518" i="38"/>
  <c r="D517" i="38"/>
  <c r="D516" i="38"/>
  <c r="D515" i="38"/>
  <c r="D514" i="38"/>
  <c r="D513" i="38"/>
  <c r="D512" i="38"/>
  <c r="D511" i="38"/>
  <c r="D510" i="38"/>
  <c r="D509" i="38"/>
  <c r="D508" i="38"/>
  <c r="D507" i="38"/>
  <c r="D506" i="38"/>
  <c r="D505" i="38"/>
  <c r="D504" i="38"/>
  <c r="D503" i="38"/>
  <c r="D502" i="38"/>
  <c r="D501" i="38"/>
  <c r="D500" i="38"/>
  <c r="D499" i="38"/>
  <c r="D498" i="38"/>
  <c r="D497" i="38"/>
  <c r="D496" i="38"/>
  <c r="D495" i="38"/>
  <c r="D494" i="38"/>
  <c r="D493" i="38"/>
  <c r="D492" i="38"/>
  <c r="D491" i="38"/>
  <c r="D490" i="38"/>
  <c r="D489" i="38"/>
  <c r="D488" i="38"/>
  <c r="D487" i="38"/>
  <c r="D486" i="38"/>
  <c r="D485" i="38"/>
  <c r="D484" i="38"/>
  <c r="D483" i="38"/>
  <c r="D482" i="38"/>
  <c r="D481" i="38"/>
  <c r="D480" i="38"/>
  <c r="D479" i="38"/>
  <c r="D478" i="38"/>
  <c r="D477" i="38"/>
  <c r="D476" i="38"/>
  <c r="D475" i="38"/>
  <c r="D474" i="38"/>
  <c r="D473" i="38"/>
  <c r="D472" i="38"/>
  <c r="D471" i="38"/>
  <c r="D470" i="38"/>
  <c r="D469" i="38"/>
  <c r="D468" i="38"/>
  <c r="D467" i="38"/>
  <c r="D466" i="38"/>
  <c r="D465" i="38"/>
  <c r="D464" i="38"/>
  <c r="D463" i="38"/>
  <c r="D462" i="38"/>
  <c r="D461" i="38"/>
  <c r="D460" i="38"/>
  <c r="D459" i="38"/>
  <c r="D458" i="38"/>
  <c r="D457" i="38"/>
  <c r="D456" i="38"/>
  <c r="D455" i="38"/>
  <c r="D454" i="38"/>
  <c r="D453" i="38"/>
  <c r="D452" i="38"/>
  <c r="D451" i="38"/>
  <c r="D450" i="38"/>
  <c r="D449" i="38"/>
  <c r="D448" i="38"/>
  <c r="D447" i="38"/>
  <c r="D446" i="38"/>
  <c r="D445" i="38"/>
  <c r="D444" i="38"/>
  <c r="D443" i="38"/>
  <c r="D442" i="38"/>
  <c r="D441" i="38"/>
  <c r="D440" i="38"/>
  <c r="D439" i="38"/>
  <c r="D438" i="38"/>
  <c r="D437" i="38"/>
  <c r="D436" i="38"/>
  <c r="D435" i="38"/>
  <c r="D434" i="38"/>
  <c r="D433" i="38"/>
  <c r="D432" i="38"/>
  <c r="D431" i="38"/>
  <c r="D430" i="38"/>
  <c r="D429" i="38"/>
  <c r="D428" i="38"/>
  <c r="D427" i="38"/>
  <c r="D426" i="38"/>
  <c r="D425" i="38"/>
  <c r="D424" i="38"/>
  <c r="D423" i="38"/>
  <c r="D422" i="38"/>
  <c r="D421" i="38"/>
  <c r="D420" i="38"/>
  <c r="D419" i="38"/>
  <c r="D418" i="38"/>
  <c r="D417" i="38"/>
  <c r="D416" i="38"/>
  <c r="D415" i="38"/>
  <c r="D414" i="38"/>
  <c r="D413" i="38"/>
  <c r="D412" i="38"/>
  <c r="D411" i="38"/>
  <c r="D410" i="38"/>
  <c r="D409" i="38"/>
  <c r="D408" i="38"/>
  <c r="D407" i="38"/>
  <c r="D406" i="38"/>
  <c r="D405" i="38"/>
  <c r="D404" i="38"/>
  <c r="D403" i="38"/>
  <c r="D402" i="38"/>
  <c r="D401" i="38"/>
  <c r="D400" i="38"/>
  <c r="D399" i="38"/>
  <c r="D398" i="38"/>
  <c r="D397" i="38"/>
  <c r="D396" i="38"/>
  <c r="D395" i="38"/>
  <c r="D394" i="38"/>
  <c r="D393" i="38"/>
  <c r="D392" i="38"/>
  <c r="D391" i="38"/>
  <c r="D390" i="38"/>
  <c r="D389" i="38"/>
  <c r="D388" i="38"/>
  <c r="D387" i="38"/>
  <c r="D386" i="38"/>
  <c r="D385" i="38"/>
  <c r="D384" i="38"/>
  <c r="D383" i="38"/>
  <c r="D382" i="38"/>
  <c r="D381" i="38"/>
  <c r="D380" i="38"/>
  <c r="D379" i="38"/>
  <c r="D378" i="38"/>
  <c r="D377" i="38"/>
  <c r="D376" i="38"/>
  <c r="D375" i="38"/>
  <c r="D374" i="38"/>
  <c r="D373" i="38"/>
  <c r="D372" i="38"/>
  <c r="D371" i="38"/>
  <c r="D370" i="38"/>
  <c r="D369" i="38"/>
  <c r="D368" i="38"/>
  <c r="D367" i="38"/>
  <c r="D366" i="38"/>
  <c r="D365" i="38"/>
  <c r="D364" i="38"/>
  <c r="D363" i="38"/>
  <c r="D362" i="38"/>
  <c r="D361" i="38"/>
  <c r="D360" i="38"/>
  <c r="D359" i="38"/>
  <c r="D358" i="38"/>
  <c r="D357" i="38"/>
  <c r="D356" i="38"/>
  <c r="D355" i="38"/>
  <c r="D354" i="38"/>
  <c r="D353" i="38"/>
  <c r="D352" i="38"/>
  <c r="D351" i="38"/>
  <c r="D350" i="38"/>
  <c r="D349" i="38"/>
  <c r="D348" i="38"/>
  <c r="D347" i="38"/>
  <c r="D346" i="38"/>
  <c r="D345" i="38"/>
  <c r="D344" i="38"/>
  <c r="D343" i="38"/>
  <c r="D342" i="38"/>
  <c r="D341" i="38"/>
  <c r="D340" i="38"/>
  <c r="D339" i="38"/>
  <c r="D338" i="38"/>
  <c r="D337" i="38"/>
  <c r="D336" i="38"/>
  <c r="D335" i="38"/>
  <c r="D334" i="38"/>
  <c r="D333" i="38"/>
  <c r="D332" i="38"/>
  <c r="D331" i="38"/>
  <c r="D330" i="38"/>
  <c r="D329" i="38"/>
  <c r="D328" i="38"/>
  <c r="D327" i="38"/>
  <c r="D326" i="38"/>
  <c r="D325" i="38"/>
  <c r="D324" i="38"/>
  <c r="D323" i="38"/>
  <c r="D322" i="38"/>
  <c r="D321" i="38"/>
  <c r="D320" i="38"/>
  <c r="D319" i="38"/>
  <c r="D318" i="38"/>
  <c r="D317" i="38"/>
  <c r="D316" i="38"/>
  <c r="D315" i="38"/>
  <c r="D314" i="38"/>
  <c r="D313" i="38"/>
  <c r="D312" i="38"/>
  <c r="D311" i="38"/>
  <c r="D310" i="38"/>
  <c r="D309" i="38"/>
  <c r="D308" i="38"/>
  <c r="D307" i="38"/>
  <c r="D306" i="38"/>
  <c r="D305" i="38"/>
  <c r="D304" i="38"/>
  <c r="D303" i="38"/>
  <c r="D302" i="38"/>
  <c r="D301" i="38"/>
  <c r="D300" i="38"/>
  <c r="D299" i="38"/>
  <c r="D298" i="38"/>
  <c r="D297" i="38"/>
  <c r="D296" i="38"/>
  <c r="D295" i="38"/>
  <c r="D294" i="38"/>
  <c r="D293" i="38"/>
  <c r="D292" i="38"/>
  <c r="D291" i="38"/>
  <c r="D290" i="38"/>
  <c r="D289" i="38"/>
  <c r="D288" i="38"/>
  <c r="D287" i="38"/>
  <c r="D286" i="38"/>
  <c r="D285" i="38"/>
  <c r="D284" i="38"/>
  <c r="D283" i="38"/>
  <c r="D282" i="38"/>
  <c r="D281" i="38"/>
  <c r="D280" i="38"/>
  <c r="D279" i="38"/>
  <c r="D278" i="38"/>
  <c r="D277" i="38"/>
  <c r="D276" i="38"/>
  <c r="D275" i="38"/>
  <c r="D274" i="38"/>
  <c r="D273" i="38"/>
  <c r="D272" i="38"/>
  <c r="D271" i="38"/>
  <c r="D270" i="38"/>
  <c r="D269" i="38"/>
  <c r="D268" i="38"/>
  <c r="D267" i="38"/>
  <c r="D266" i="38"/>
  <c r="D265" i="38"/>
  <c r="D264" i="38"/>
  <c r="D263" i="38"/>
  <c r="D262" i="38"/>
  <c r="D261" i="38"/>
  <c r="D260" i="38"/>
  <c r="D259" i="38"/>
  <c r="D258" i="38"/>
  <c r="D257" i="38"/>
  <c r="D256" i="38"/>
  <c r="D255" i="38"/>
  <c r="D254" i="38"/>
  <c r="D253" i="38"/>
  <c r="D252" i="38"/>
  <c r="D251" i="38"/>
  <c r="D250" i="38"/>
  <c r="D249" i="38"/>
  <c r="D248" i="38"/>
  <c r="D247" i="38"/>
  <c r="D246" i="38"/>
  <c r="D245" i="38"/>
  <c r="D244" i="38"/>
  <c r="D243" i="38"/>
  <c r="D242" i="38"/>
  <c r="D241" i="38"/>
  <c r="D240" i="38"/>
  <c r="D239" i="38"/>
  <c r="D238" i="38"/>
  <c r="D237" i="38"/>
  <c r="D236" i="38"/>
  <c r="D235" i="38"/>
  <c r="D234" i="38"/>
  <c r="D233" i="38"/>
  <c r="D232" i="38"/>
  <c r="D231" i="38"/>
  <c r="D230" i="38"/>
  <c r="D229" i="38"/>
  <c r="D228" i="38"/>
  <c r="D227" i="38"/>
  <c r="D226" i="38"/>
  <c r="D225" i="38"/>
  <c r="D224" i="38"/>
  <c r="D223" i="38"/>
  <c r="D222" i="38"/>
  <c r="D221" i="38"/>
  <c r="D220" i="38"/>
  <c r="D219" i="38"/>
  <c r="D218" i="38"/>
  <c r="D217" i="38"/>
  <c r="D216" i="38"/>
  <c r="D215" i="38"/>
  <c r="D214" i="38"/>
  <c r="D213" i="38"/>
  <c r="D212" i="38"/>
  <c r="D211" i="38"/>
  <c r="D210" i="38"/>
  <c r="D209" i="38"/>
  <c r="D208" i="38"/>
  <c r="D207" i="38"/>
  <c r="D206" i="38"/>
  <c r="D205" i="38"/>
  <c r="D204" i="38"/>
  <c r="D203" i="38"/>
  <c r="D202" i="38"/>
  <c r="D201" i="38"/>
  <c r="D200" i="38"/>
  <c r="D199" i="38"/>
  <c r="D198" i="38"/>
  <c r="D197" i="38"/>
  <c r="D196" i="38"/>
  <c r="D195" i="38"/>
  <c r="D194" i="38"/>
  <c r="D193" i="38"/>
  <c r="D192" i="38"/>
  <c r="D191" i="38"/>
  <c r="D190" i="38"/>
  <c r="D189" i="38"/>
  <c r="D188" i="38"/>
  <c r="D187" i="38"/>
  <c r="D186" i="38"/>
  <c r="D185" i="38"/>
  <c r="D184" i="38"/>
  <c r="D183" i="38"/>
  <c r="D182" i="38"/>
  <c r="D181" i="38"/>
  <c r="D180" i="38"/>
  <c r="D179" i="38"/>
  <c r="D178" i="38"/>
  <c r="D177" i="38"/>
  <c r="D176" i="38"/>
  <c r="D175" i="38"/>
  <c r="D174" i="38"/>
  <c r="D173" i="38"/>
  <c r="D172" i="38"/>
  <c r="D171" i="38"/>
  <c r="D170" i="38"/>
  <c r="D169" i="38"/>
  <c r="D168" i="38"/>
  <c r="D167" i="38"/>
  <c r="D166" i="38"/>
  <c r="D165" i="38"/>
  <c r="D164" i="38"/>
  <c r="D163" i="38"/>
  <c r="D162" i="38"/>
  <c r="D161" i="38"/>
  <c r="D160" i="38"/>
  <c r="D159" i="38"/>
  <c r="D158" i="38"/>
  <c r="D157" i="38"/>
  <c r="D156" i="38"/>
  <c r="D155" i="38"/>
  <c r="D154" i="38"/>
  <c r="D153" i="38"/>
  <c r="D152" i="38"/>
  <c r="D151" i="38"/>
  <c r="D150" i="38"/>
  <c r="D149" i="38"/>
  <c r="D148" i="38"/>
  <c r="D147" i="38"/>
  <c r="D146" i="38"/>
  <c r="D145" i="38"/>
  <c r="D144" i="38"/>
  <c r="D143" i="38"/>
  <c r="D142" i="38"/>
  <c r="D141" i="38"/>
  <c r="D140" i="38"/>
  <c r="D139" i="38"/>
  <c r="D138" i="38"/>
  <c r="D137" i="38"/>
  <c r="D136" i="38"/>
  <c r="D135" i="38"/>
  <c r="D134" i="38"/>
  <c r="D133" i="38"/>
  <c r="D132" i="38"/>
  <c r="D131" i="38"/>
  <c r="D130" i="38"/>
  <c r="D129" i="38"/>
  <c r="D128" i="38"/>
  <c r="D127" i="38"/>
  <c r="D126" i="38"/>
  <c r="D125" i="38"/>
  <c r="D124" i="38"/>
  <c r="D123" i="38"/>
  <c r="D122" i="38"/>
  <c r="D121" i="38"/>
  <c r="D120" i="38"/>
  <c r="D119" i="38"/>
  <c r="D118" i="38"/>
  <c r="D117" i="38"/>
  <c r="D116" i="38"/>
  <c r="D115" i="38"/>
  <c r="D114" i="38"/>
  <c r="D113" i="38"/>
  <c r="D112" i="38"/>
  <c r="D111" i="38"/>
  <c r="D110" i="38"/>
  <c r="D109" i="38"/>
  <c r="D108" i="38"/>
  <c r="D107" i="38"/>
  <c r="D106" i="38"/>
  <c r="D105" i="38"/>
  <c r="D104" i="38"/>
  <c r="D103" i="38"/>
  <c r="D102" i="38"/>
  <c r="D101" i="38"/>
  <c r="D100" i="38"/>
  <c r="D99" i="38"/>
  <c r="D98" i="38"/>
  <c r="D97" i="38"/>
  <c r="D96" i="38"/>
  <c r="D95" i="38"/>
  <c r="D94" i="38"/>
  <c r="D93" i="38"/>
  <c r="D92" i="38"/>
  <c r="D91" i="38"/>
  <c r="D90" i="38"/>
  <c r="D89" i="38"/>
  <c r="D88" i="38"/>
  <c r="D87" i="38"/>
  <c r="D86" i="38"/>
  <c r="D85" i="38"/>
  <c r="D84" i="38"/>
  <c r="D83" i="38"/>
  <c r="D82" i="38"/>
  <c r="D81" i="38"/>
  <c r="D80" i="38"/>
  <c r="D79" i="38"/>
  <c r="D78" i="38"/>
  <c r="D77" i="38"/>
  <c r="D76" i="38"/>
  <c r="D75" i="38"/>
  <c r="D74" i="38"/>
  <c r="D73" i="38"/>
  <c r="D72" i="38"/>
  <c r="D71" i="38"/>
  <c r="D70" i="38"/>
  <c r="D69" i="38"/>
  <c r="D68" i="38"/>
  <c r="D67" i="38"/>
  <c r="D66" i="38"/>
  <c r="D65" i="38"/>
  <c r="D64" i="38"/>
  <c r="D63" i="38"/>
  <c r="D62" i="38"/>
  <c r="D61" i="38"/>
  <c r="D60" i="38"/>
  <c r="D59" i="38"/>
  <c r="D58" i="38"/>
  <c r="D57" i="38"/>
  <c r="D56" i="38"/>
  <c r="D55" i="38"/>
  <c r="D54" i="38"/>
  <c r="D53" i="38"/>
  <c r="D52" i="38"/>
  <c r="D51" i="38"/>
  <c r="D50" i="38"/>
  <c r="D49" i="38"/>
  <c r="D48" i="38"/>
  <c r="D47" i="38"/>
  <c r="D46" i="38"/>
  <c r="D45" i="38"/>
  <c r="D44" i="38"/>
  <c r="D43" i="38"/>
  <c r="D42" i="38"/>
  <c r="D41" i="38"/>
  <c r="D40" i="38"/>
  <c r="D39" i="38"/>
  <c r="D38" i="38"/>
  <c r="D37" i="38"/>
  <c r="D36" i="38"/>
  <c r="D35" i="38"/>
  <c r="D34" i="38"/>
  <c r="D33" i="38"/>
  <c r="D32" i="38"/>
  <c r="D31" i="38"/>
  <c r="D30" i="38"/>
  <c r="D29" i="38"/>
  <c r="D28" i="38"/>
  <c r="D27" i="38"/>
  <c r="D26" i="38"/>
  <c r="D25" i="38"/>
  <c r="D24" i="38"/>
  <c r="D23" i="38"/>
  <c r="D22" i="38"/>
  <c r="D21" i="38"/>
  <c r="D20" i="38"/>
  <c r="D19" i="38"/>
  <c r="D18" i="38"/>
  <c r="D17" i="38"/>
  <c r="D16" i="38"/>
  <c r="D15" i="38"/>
  <c r="D14" i="38"/>
  <c r="D13" i="38"/>
  <c r="D12" i="38"/>
  <c r="D11" i="38"/>
  <c r="D10" i="38"/>
  <c r="D9" i="38"/>
  <c r="D8" i="38"/>
  <c r="D7" i="38"/>
  <c r="D6" i="38"/>
  <c r="D5" i="38"/>
  <c r="D4" i="38"/>
  <c r="D3" i="38"/>
  <c r="D2" i="38"/>
  <c r="C23" i="38"/>
  <c r="C22" i="38"/>
  <c r="C21" i="38"/>
  <c r="C20" i="38"/>
  <c r="C19" i="38"/>
  <c r="C18" i="38"/>
  <c r="C17" i="38"/>
  <c r="C16" i="38"/>
  <c r="C15" i="38"/>
  <c r="C14" i="38"/>
  <c r="C13" i="38"/>
  <c r="C12" i="38"/>
  <c r="C11" i="38"/>
  <c r="C10" i="38"/>
  <c r="C9" i="38"/>
  <c r="C8" i="38"/>
  <c r="C7" i="38"/>
  <c r="C6" i="38"/>
  <c r="C5" i="38"/>
  <c r="C4" i="38"/>
  <c r="C3" i="38"/>
  <c r="C2" i="38"/>
  <c r="K1166" i="36" l="1"/>
  <c r="K1167" i="36"/>
  <c r="K1168" i="36"/>
  <c r="K1169" i="36"/>
  <c r="K1170" i="36"/>
  <c r="K1171" i="36"/>
  <c r="K1172" i="36"/>
  <c r="K1173" i="36"/>
  <c r="K1174" i="36"/>
  <c r="K1175" i="36"/>
  <c r="K1176" i="36"/>
  <c r="K641" i="35"/>
  <c r="M641" i="35"/>
  <c r="K642" i="35"/>
  <c r="M642" i="35"/>
  <c r="K643" i="35"/>
  <c r="M643" i="35"/>
  <c r="K644" i="35"/>
  <c r="M644" i="35"/>
  <c r="K645" i="35"/>
  <c r="M645" i="35"/>
  <c r="K646" i="35"/>
  <c r="M646" i="35"/>
  <c r="K647" i="35"/>
  <c r="M647" i="35"/>
  <c r="K648" i="35"/>
  <c r="M648" i="35"/>
  <c r="K649" i="35"/>
  <c r="M649" i="35"/>
  <c r="K650" i="35"/>
  <c r="M650" i="35"/>
  <c r="K651" i="35"/>
  <c r="M651" i="35"/>
  <c r="D641" i="35"/>
  <c r="C530" i="38" s="1"/>
  <c r="D642" i="35"/>
  <c r="C531" i="38" s="1"/>
  <c r="D643" i="35"/>
  <c r="C532" i="38" s="1"/>
  <c r="D644" i="35"/>
  <c r="C533" i="38" s="1"/>
  <c r="D645" i="35"/>
  <c r="C534" i="38" s="1"/>
  <c r="D646" i="35"/>
  <c r="C535" i="38" s="1"/>
  <c r="D647" i="35"/>
  <c r="C536" i="38" s="1"/>
  <c r="D648" i="35"/>
  <c r="C537" i="38" s="1"/>
  <c r="D649" i="35"/>
  <c r="C538" i="38" s="1"/>
  <c r="D650" i="35"/>
  <c r="C539" i="38" s="1"/>
  <c r="D651" i="35"/>
  <c r="C540" i="38" s="1"/>
  <c r="U54" i="22"/>
  <c r="V54" i="22"/>
  <c r="H539" i="38" l="1"/>
  <c r="E539" i="38"/>
  <c r="H535" i="38"/>
  <c r="E535" i="38"/>
  <c r="H531" i="38"/>
  <c r="E531" i="38"/>
  <c r="H538" i="38"/>
  <c r="E538" i="38"/>
  <c r="H530" i="38"/>
  <c r="E530" i="38"/>
  <c r="H534" i="38"/>
  <c r="E534" i="38"/>
  <c r="E537" i="38"/>
  <c r="H537" i="38"/>
  <c r="E533" i="38"/>
  <c r="H533" i="38"/>
  <c r="E540" i="38"/>
  <c r="H540" i="38"/>
  <c r="E536" i="38"/>
  <c r="H536" i="38"/>
  <c r="E532" i="38"/>
  <c r="H532" i="38"/>
  <c r="P1156" i="36"/>
  <c r="P1157" i="36"/>
  <c r="P1158" i="36"/>
  <c r="P1159" i="36"/>
  <c r="P1160" i="36"/>
  <c r="P1161" i="36"/>
  <c r="P1162" i="36"/>
  <c r="P1163" i="36"/>
  <c r="P1164" i="36"/>
  <c r="P1165" i="36"/>
  <c r="K1156" i="36"/>
  <c r="K1157" i="36"/>
  <c r="K1158" i="36"/>
  <c r="K1159" i="36"/>
  <c r="K1160" i="36"/>
  <c r="K1161" i="36"/>
  <c r="K1162" i="36"/>
  <c r="K1163" i="36"/>
  <c r="K1164" i="36"/>
  <c r="K1165" i="36"/>
  <c r="I1156" i="36"/>
  <c r="I1157" i="36"/>
  <c r="I1158" i="36"/>
  <c r="I1159" i="36"/>
  <c r="I1160" i="36"/>
  <c r="I1161" i="36"/>
  <c r="I1162" i="36"/>
  <c r="I1163" i="36"/>
  <c r="I1164" i="36"/>
  <c r="I1165" i="36"/>
  <c r="D45" i="21" l="1"/>
  <c r="D46" i="21"/>
  <c r="D47" i="21"/>
  <c r="D48" i="21"/>
  <c r="D49" i="21"/>
  <c r="D50" i="21"/>
  <c r="D51" i="21"/>
  <c r="D52" i="21"/>
  <c r="D53" i="21"/>
  <c r="D54" i="21"/>
  <c r="P706" i="36" l="1"/>
  <c r="P707" i="36"/>
  <c r="P708" i="36"/>
  <c r="P709" i="36"/>
  <c r="P710" i="36"/>
  <c r="P711" i="36"/>
  <c r="P712" i="36"/>
  <c r="P713" i="36"/>
  <c r="P714" i="36"/>
  <c r="P715" i="36"/>
  <c r="P716" i="36"/>
  <c r="K706" i="36"/>
  <c r="K707" i="36"/>
  <c r="K708" i="36"/>
  <c r="K709" i="36"/>
  <c r="K710" i="36"/>
  <c r="K711" i="36"/>
  <c r="K712" i="36"/>
  <c r="K713" i="36"/>
  <c r="K714" i="36"/>
  <c r="K715" i="36"/>
  <c r="K716" i="36"/>
  <c r="I706" i="36"/>
  <c r="I707" i="36"/>
  <c r="I708" i="36"/>
  <c r="I709" i="36"/>
  <c r="I710" i="36"/>
  <c r="I711" i="36"/>
  <c r="I712" i="36"/>
  <c r="I713" i="36"/>
  <c r="I714" i="36"/>
  <c r="I715" i="36"/>
  <c r="I716" i="36"/>
  <c r="I1145" i="36" l="1"/>
  <c r="K1145" i="36"/>
  <c r="I1146" i="36"/>
  <c r="K1146" i="36"/>
  <c r="I1147" i="36"/>
  <c r="K1147" i="36"/>
  <c r="I1148" i="36"/>
  <c r="K1148" i="36"/>
  <c r="I1149" i="36"/>
  <c r="K1149" i="36"/>
  <c r="I1150" i="36"/>
  <c r="K1150" i="36"/>
  <c r="I1151" i="36"/>
  <c r="K1151" i="36"/>
  <c r="I1152" i="36"/>
  <c r="K1152" i="36"/>
  <c r="I1153" i="36"/>
  <c r="K1153" i="36"/>
  <c r="I1154" i="36"/>
  <c r="K1154" i="36"/>
  <c r="I1155" i="36"/>
  <c r="K1155" i="36"/>
  <c r="H30" i="22" l="1"/>
  <c r="L343" i="35" l="1"/>
  <c r="L347" i="35"/>
  <c r="L351" i="35"/>
  <c r="L344" i="35"/>
  <c r="L348" i="35"/>
  <c r="L352" i="35"/>
  <c r="L345" i="35"/>
  <c r="L349" i="35"/>
  <c r="L346" i="35"/>
  <c r="L350" i="35"/>
  <c r="L353" i="35"/>
  <c r="H141" i="42"/>
  <c r="G141" i="42"/>
  <c r="H140" i="42"/>
  <c r="G140" i="42"/>
  <c r="H133" i="42"/>
  <c r="G133" i="42"/>
  <c r="H132" i="42"/>
  <c r="G132" i="42"/>
  <c r="K1134" i="36" l="1"/>
  <c r="K1135" i="36"/>
  <c r="K1136" i="36"/>
  <c r="K1137" i="36"/>
  <c r="K1138" i="36"/>
  <c r="K1139" i="36"/>
  <c r="K1140" i="36"/>
  <c r="K1141" i="36"/>
  <c r="K1142" i="36"/>
  <c r="K1143" i="36"/>
  <c r="K1144" i="36"/>
  <c r="K630" i="35"/>
  <c r="M630" i="35"/>
  <c r="K631" i="35"/>
  <c r="M631" i="35"/>
  <c r="K632" i="35"/>
  <c r="M632" i="35"/>
  <c r="K633" i="35"/>
  <c r="M633" i="35"/>
  <c r="K634" i="35"/>
  <c r="M634" i="35"/>
  <c r="K635" i="35"/>
  <c r="M635" i="35"/>
  <c r="K636" i="35"/>
  <c r="M636" i="35"/>
  <c r="K637" i="35"/>
  <c r="M637" i="35"/>
  <c r="K638" i="35"/>
  <c r="M638" i="35"/>
  <c r="K639" i="35"/>
  <c r="M639" i="35"/>
  <c r="K640" i="35"/>
  <c r="M640" i="35"/>
  <c r="D630" i="35"/>
  <c r="C519" i="38" s="1"/>
  <c r="D631" i="35"/>
  <c r="D632" i="35"/>
  <c r="C521" i="38" s="1"/>
  <c r="D633" i="35"/>
  <c r="D634" i="35"/>
  <c r="C523" i="38" s="1"/>
  <c r="D635" i="35"/>
  <c r="C524" i="38" s="1"/>
  <c r="D636" i="35"/>
  <c r="C525" i="38" s="1"/>
  <c r="D637" i="35"/>
  <c r="D638" i="35"/>
  <c r="C527" i="38" s="1"/>
  <c r="D639" i="35"/>
  <c r="C528" i="38" s="1"/>
  <c r="D640" i="35"/>
  <c r="C529" i="38" s="1"/>
  <c r="U55" i="22"/>
  <c r="V55" i="22"/>
  <c r="C526" i="38" l="1"/>
  <c r="E526" i="38" s="1"/>
  <c r="C522" i="38"/>
  <c r="H522" i="38" s="1"/>
  <c r="C520" i="38"/>
  <c r="E527" i="38"/>
  <c r="H527" i="38"/>
  <c r="E529" i="38"/>
  <c r="H529" i="38"/>
  <c r="E525" i="38"/>
  <c r="H525" i="38"/>
  <c r="E521" i="38"/>
  <c r="H521" i="38"/>
  <c r="E519" i="38"/>
  <c r="H519" i="38"/>
  <c r="E523" i="38"/>
  <c r="H523" i="38"/>
  <c r="H528" i="38"/>
  <c r="E528" i="38"/>
  <c r="H524" i="38"/>
  <c r="E524" i="38"/>
  <c r="H526" i="38" l="1"/>
  <c r="E520" i="38"/>
  <c r="E522" i="38"/>
  <c r="H520" i="38"/>
  <c r="G124" i="42"/>
  <c r="H124" i="42"/>
  <c r="H123" i="42"/>
  <c r="G123" i="42"/>
  <c r="H48" i="22" l="1"/>
  <c r="H15" i="22" l="1"/>
  <c r="H12" i="22"/>
  <c r="H20" i="21"/>
  <c r="I20" i="21"/>
  <c r="B39" i="42" l="1"/>
  <c r="B34" i="42"/>
  <c r="B18" i="42"/>
  <c r="B14" i="42"/>
  <c r="B16" i="42" s="1"/>
  <c r="B35" i="42" s="1"/>
  <c r="B36" i="42" l="1"/>
  <c r="K1123" i="36" l="1"/>
  <c r="K1124" i="36"/>
  <c r="K1125" i="36"/>
  <c r="K1126" i="36"/>
  <c r="K1127" i="36"/>
  <c r="K1128" i="36"/>
  <c r="K1129" i="36"/>
  <c r="K1130" i="36"/>
  <c r="K1131" i="36"/>
  <c r="K1132" i="36"/>
  <c r="K1133" i="36"/>
  <c r="J58" i="22" l="1"/>
  <c r="K1112" i="36" l="1"/>
  <c r="K1113" i="36"/>
  <c r="K1114" i="36"/>
  <c r="K1115" i="36"/>
  <c r="K1116" i="36"/>
  <c r="K1117" i="36"/>
  <c r="K1118" i="36"/>
  <c r="K1119" i="36"/>
  <c r="K1120" i="36"/>
  <c r="K1121" i="36"/>
  <c r="K1122" i="36"/>
  <c r="J620" i="35"/>
  <c r="K620" i="35"/>
  <c r="M620" i="35"/>
  <c r="J621" i="35"/>
  <c r="K621" i="35"/>
  <c r="M621" i="35"/>
  <c r="J622" i="35"/>
  <c r="K622" i="35"/>
  <c r="M622" i="35"/>
  <c r="J623" i="35"/>
  <c r="K623" i="35"/>
  <c r="M623" i="35"/>
  <c r="J624" i="35"/>
  <c r="K624" i="35"/>
  <c r="M624" i="35"/>
  <c r="J625" i="35"/>
  <c r="K625" i="35"/>
  <c r="M625" i="35"/>
  <c r="J626" i="35"/>
  <c r="K626" i="35"/>
  <c r="M626" i="35"/>
  <c r="J627" i="35"/>
  <c r="K627" i="35"/>
  <c r="M627" i="35"/>
  <c r="J628" i="35"/>
  <c r="K628" i="35"/>
  <c r="M628" i="35"/>
  <c r="J629" i="35"/>
  <c r="K629" i="35"/>
  <c r="M629" i="35"/>
  <c r="M619" i="35"/>
  <c r="K619" i="35"/>
  <c r="J619" i="35"/>
  <c r="D620" i="35"/>
  <c r="D621" i="35"/>
  <c r="C510" i="38" s="1"/>
  <c r="D622" i="35"/>
  <c r="C511" i="38" s="1"/>
  <c r="D623" i="35"/>
  <c r="C512" i="38" s="1"/>
  <c r="D624" i="35"/>
  <c r="D625" i="35"/>
  <c r="C514" i="38" s="1"/>
  <c r="D626" i="35"/>
  <c r="C515" i="38" s="1"/>
  <c r="D627" i="35"/>
  <c r="C516" i="38" s="1"/>
  <c r="D628" i="35"/>
  <c r="C517" i="38" s="1"/>
  <c r="D629" i="35"/>
  <c r="C518" i="38" s="1"/>
  <c r="D619" i="35"/>
  <c r="C508" i="38" s="1"/>
  <c r="U58" i="22"/>
  <c r="V58" i="22"/>
  <c r="C513" i="38" l="1"/>
  <c r="H513" i="38" s="1"/>
  <c r="C509" i="38"/>
  <c r="H509" i="38" s="1"/>
  <c r="P1132" i="36"/>
  <c r="P1121" i="36"/>
  <c r="P1128" i="36"/>
  <c r="P1117" i="36"/>
  <c r="P1130" i="36"/>
  <c r="P1119" i="36"/>
  <c r="P1126" i="36"/>
  <c r="P1115" i="36"/>
  <c r="P1120" i="36"/>
  <c r="P1131" i="36"/>
  <c r="P1116" i="36"/>
  <c r="P1127" i="36"/>
  <c r="P1112" i="36"/>
  <c r="P1123" i="36"/>
  <c r="P1124" i="36"/>
  <c r="P1113" i="36"/>
  <c r="P1122" i="36"/>
  <c r="P1133" i="36"/>
  <c r="P1118" i="36"/>
  <c r="P1129" i="36"/>
  <c r="P1125" i="36"/>
  <c r="P1114" i="36"/>
  <c r="E518" i="38"/>
  <c r="E514" i="38"/>
  <c r="E510" i="38"/>
  <c r="H511" i="38"/>
  <c r="H515" i="38"/>
  <c r="E515" i="38"/>
  <c r="E511" i="38"/>
  <c r="H517" i="38"/>
  <c r="E508" i="38"/>
  <c r="H516" i="38"/>
  <c r="E512" i="38"/>
  <c r="E516" i="38"/>
  <c r="H512" i="38"/>
  <c r="H508" i="38"/>
  <c r="E517" i="38"/>
  <c r="H518" i="38"/>
  <c r="H514" i="38"/>
  <c r="H510" i="38"/>
  <c r="E513" i="38" l="1"/>
  <c r="E509" i="38"/>
  <c r="F24" i="41"/>
  <c r="G24" i="41"/>
  <c r="H24" i="41"/>
  <c r="I24" i="41"/>
  <c r="E24" i="41"/>
  <c r="K1111" i="36" l="1"/>
  <c r="K618" i="35" l="1"/>
  <c r="M618" i="35"/>
  <c r="D618" i="35"/>
  <c r="P1091" i="36" l="1"/>
  <c r="P1092" i="36"/>
  <c r="P1093" i="36"/>
  <c r="P1094" i="36"/>
  <c r="P1095" i="36"/>
  <c r="P1096" i="36"/>
  <c r="P1097" i="36"/>
  <c r="P1098" i="36"/>
  <c r="P1099" i="36"/>
  <c r="P1100" i="36"/>
  <c r="P1101" i="36"/>
  <c r="P1102" i="36"/>
  <c r="P1103" i="36"/>
  <c r="P1104" i="36"/>
  <c r="P1105" i="36"/>
  <c r="P1106" i="36"/>
  <c r="P1107" i="36"/>
  <c r="P1108" i="36"/>
  <c r="P1109" i="36"/>
  <c r="P1110" i="36"/>
  <c r="K1106" i="36" l="1"/>
  <c r="K1107" i="36"/>
  <c r="K1108" i="36"/>
  <c r="K1109" i="36"/>
  <c r="K1110" i="36"/>
  <c r="K1096" i="36"/>
  <c r="K1097" i="36"/>
  <c r="K1098" i="36"/>
  <c r="K1099" i="36"/>
  <c r="K1100" i="36"/>
  <c r="K1101" i="36"/>
  <c r="K1102" i="36"/>
  <c r="K1103" i="36"/>
  <c r="K1104" i="36"/>
  <c r="K1105" i="36"/>
  <c r="K1091" i="36"/>
  <c r="K1092" i="36"/>
  <c r="K1093" i="36"/>
  <c r="K1094" i="36"/>
  <c r="K1095" i="36"/>
  <c r="O3" i="35" l="1"/>
  <c r="O4" i="35"/>
  <c r="O5" i="35"/>
  <c r="O6" i="35"/>
  <c r="O7" i="35"/>
  <c r="O8" i="35"/>
  <c r="O9" i="35"/>
  <c r="O10" i="35"/>
  <c r="O11" i="35"/>
  <c r="O12" i="35"/>
  <c r="O13" i="35"/>
  <c r="O14" i="35"/>
  <c r="O15" i="35"/>
  <c r="O16" i="35"/>
  <c r="O17" i="35"/>
  <c r="O18" i="35"/>
  <c r="O19" i="35"/>
  <c r="O20" i="35"/>
  <c r="O21" i="35"/>
  <c r="O22" i="35"/>
  <c r="O23" i="35"/>
  <c r="O24" i="35"/>
  <c r="O25" i="35"/>
  <c r="O26" i="35"/>
  <c r="O27" i="35"/>
  <c r="O28" i="35"/>
  <c r="O29" i="35"/>
  <c r="O30" i="35"/>
  <c r="O31" i="35"/>
  <c r="O32" i="35"/>
  <c r="O33" i="35"/>
  <c r="O34" i="35"/>
  <c r="O35" i="35"/>
  <c r="O36" i="35"/>
  <c r="O37" i="35"/>
  <c r="O38" i="35"/>
  <c r="O39" i="35"/>
  <c r="O40" i="35"/>
  <c r="O41" i="35"/>
  <c r="O42" i="35"/>
  <c r="O43" i="35"/>
  <c r="O44" i="35"/>
  <c r="O45" i="35"/>
  <c r="O46" i="35"/>
  <c r="O47" i="35"/>
  <c r="O48" i="35"/>
  <c r="O49" i="35"/>
  <c r="O50" i="35"/>
  <c r="O51" i="35"/>
  <c r="O52" i="35"/>
  <c r="O53" i="35"/>
  <c r="O54" i="35"/>
  <c r="O55" i="35"/>
  <c r="O56" i="35"/>
  <c r="O57" i="35"/>
  <c r="O58" i="35"/>
  <c r="O59" i="35"/>
  <c r="O60" i="35"/>
  <c r="O61" i="35"/>
  <c r="O62" i="35"/>
  <c r="O63" i="35"/>
  <c r="O64" i="35"/>
  <c r="O65" i="35"/>
  <c r="O66" i="35"/>
  <c r="O67" i="35"/>
  <c r="O68" i="35"/>
  <c r="O69" i="35"/>
  <c r="O70" i="35"/>
  <c r="O71" i="35"/>
  <c r="O72" i="35"/>
  <c r="O73" i="35"/>
  <c r="O74" i="35"/>
  <c r="O75" i="35"/>
  <c r="O76" i="35"/>
  <c r="O77" i="35"/>
  <c r="O78" i="35"/>
  <c r="O79" i="35"/>
  <c r="O80" i="35"/>
  <c r="O81" i="35"/>
  <c r="O82" i="35"/>
  <c r="O83" i="35"/>
  <c r="O84" i="35"/>
  <c r="O85" i="35"/>
  <c r="O86" i="35"/>
  <c r="O87" i="35"/>
  <c r="O88" i="35"/>
  <c r="O89" i="35"/>
  <c r="O90" i="35"/>
  <c r="O91" i="35"/>
  <c r="O92" i="35"/>
  <c r="O93" i="35"/>
  <c r="O94" i="35"/>
  <c r="O95" i="35"/>
  <c r="O96" i="35"/>
  <c r="O97" i="35"/>
  <c r="O98" i="35"/>
  <c r="O99" i="35"/>
  <c r="O100" i="35"/>
  <c r="O101" i="35"/>
  <c r="O102" i="35"/>
  <c r="O103" i="35"/>
  <c r="O104" i="35"/>
  <c r="O105" i="35"/>
  <c r="O106" i="35"/>
  <c r="O107" i="35"/>
  <c r="O108" i="35"/>
  <c r="O109" i="35"/>
  <c r="O110" i="35"/>
  <c r="O111" i="35"/>
  <c r="O112" i="35"/>
  <c r="O113" i="35"/>
  <c r="O114" i="35"/>
  <c r="O115" i="35"/>
  <c r="O116" i="35"/>
  <c r="O117" i="35"/>
  <c r="O118" i="35"/>
  <c r="O119" i="35"/>
  <c r="O120" i="35"/>
  <c r="O121" i="35"/>
  <c r="O122" i="35"/>
  <c r="O123" i="35"/>
  <c r="O124" i="35"/>
  <c r="O125" i="35"/>
  <c r="O126" i="35"/>
  <c r="O127" i="35"/>
  <c r="O128" i="35"/>
  <c r="O129" i="35"/>
  <c r="O130" i="35"/>
  <c r="O131" i="35"/>
  <c r="O132" i="35"/>
  <c r="O133" i="35"/>
  <c r="O134" i="35"/>
  <c r="O135" i="35"/>
  <c r="O136" i="35"/>
  <c r="O137" i="35"/>
  <c r="O138" i="35"/>
  <c r="O139" i="35"/>
  <c r="O140" i="35"/>
  <c r="O141" i="35"/>
  <c r="O142" i="35"/>
  <c r="O143" i="35"/>
  <c r="O144" i="35"/>
  <c r="O145" i="35"/>
  <c r="O146" i="35"/>
  <c r="O147" i="35"/>
  <c r="O148" i="35"/>
  <c r="O149" i="35"/>
  <c r="O150" i="35"/>
  <c r="O151" i="35"/>
  <c r="O152" i="35"/>
  <c r="O153" i="35"/>
  <c r="O154" i="35"/>
  <c r="O155" i="35"/>
  <c r="O156" i="35"/>
  <c r="O157" i="35"/>
  <c r="O158" i="35"/>
  <c r="O159" i="35"/>
  <c r="O160" i="35"/>
  <c r="O161" i="35"/>
  <c r="O162" i="35"/>
  <c r="O163" i="35"/>
  <c r="O164" i="35"/>
  <c r="O165" i="35"/>
  <c r="O166" i="35"/>
  <c r="O167" i="35"/>
  <c r="O168" i="35"/>
  <c r="O169" i="35"/>
  <c r="O170" i="35"/>
  <c r="O171" i="35"/>
  <c r="O172" i="35"/>
  <c r="O173" i="35"/>
  <c r="O174" i="35"/>
  <c r="O175" i="35"/>
  <c r="O176" i="35"/>
  <c r="O177" i="35"/>
  <c r="O178" i="35"/>
  <c r="O179" i="35"/>
  <c r="O180" i="35"/>
  <c r="O181" i="35"/>
  <c r="O182" i="35"/>
  <c r="O183" i="35"/>
  <c r="O184" i="35"/>
  <c r="O185" i="35"/>
  <c r="O186" i="35"/>
  <c r="O187" i="35"/>
  <c r="O188" i="35"/>
  <c r="O189" i="35"/>
  <c r="O190" i="35"/>
  <c r="O191" i="35"/>
  <c r="O192" i="35"/>
  <c r="O193" i="35"/>
  <c r="O194" i="35"/>
  <c r="O195" i="35"/>
  <c r="O196" i="35"/>
  <c r="O197" i="35"/>
  <c r="O198" i="35"/>
  <c r="O199" i="35"/>
  <c r="O200" i="35"/>
  <c r="O201" i="35"/>
  <c r="O202" i="35"/>
  <c r="O203" i="35"/>
  <c r="O204" i="35"/>
  <c r="O205" i="35"/>
  <c r="O206" i="35"/>
  <c r="O207" i="35"/>
  <c r="O208" i="35"/>
  <c r="O209" i="35"/>
  <c r="O210" i="35"/>
  <c r="O211" i="35"/>
  <c r="O212" i="35"/>
  <c r="O213" i="35"/>
  <c r="O214" i="35"/>
  <c r="O215" i="35"/>
  <c r="O216" i="35"/>
  <c r="O217" i="35"/>
  <c r="O218" i="35"/>
  <c r="O219" i="35"/>
  <c r="O220" i="35"/>
  <c r="O221" i="35"/>
  <c r="O222" i="35"/>
  <c r="O223" i="35"/>
  <c r="O224" i="35"/>
  <c r="O225" i="35"/>
  <c r="O226" i="35"/>
  <c r="O227" i="35"/>
  <c r="O228" i="35"/>
  <c r="O229" i="35"/>
  <c r="O230" i="35"/>
  <c r="O231" i="35"/>
  <c r="O232" i="35"/>
  <c r="O233" i="35"/>
  <c r="O234" i="35"/>
  <c r="O235" i="35"/>
  <c r="O236" i="35"/>
  <c r="O237" i="35"/>
  <c r="O238" i="35"/>
  <c r="O239" i="35"/>
  <c r="O240" i="35"/>
  <c r="O241" i="35"/>
  <c r="O242" i="35"/>
  <c r="O243" i="35"/>
  <c r="O244" i="35"/>
  <c r="O245" i="35"/>
  <c r="O246" i="35"/>
  <c r="O247" i="35"/>
  <c r="O248" i="35"/>
  <c r="O249" i="35"/>
  <c r="O250" i="35"/>
  <c r="O251" i="35"/>
  <c r="O252" i="35"/>
  <c r="O253" i="35"/>
  <c r="O254" i="35"/>
  <c r="O255" i="35"/>
  <c r="O256" i="35"/>
  <c r="O257" i="35"/>
  <c r="O258" i="35"/>
  <c r="O259" i="35"/>
  <c r="O260" i="35"/>
  <c r="O261" i="35"/>
  <c r="O262" i="35"/>
  <c r="O263" i="35"/>
  <c r="O264" i="35"/>
  <c r="O265" i="35"/>
  <c r="O266" i="35"/>
  <c r="O267" i="35"/>
  <c r="O268" i="35"/>
  <c r="O269" i="35"/>
  <c r="O270" i="35"/>
  <c r="O271" i="35"/>
  <c r="O272" i="35"/>
  <c r="O273" i="35"/>
  <c r="O274" i="35"/>
  <c r="O275" i="35"/>
  <c r="O276" i="35"/>
  <c r="O277" i="35"/>
  <c r="O278" i="35"/>
  <c r="O279" i="35"/>
  <c r="O280" i="35"/>
  <c r="O281" i="35"/>
  <c r="O282" i="35"/>
  <c r="O283" i="35"/>
  <c r="O284" i="35"/>
  <c r="O285" i="35"/>
  <c r="O286" i="35"/>
  <c r="O287" i="35"/>
  <c r="O288" i="35"/>
  <c r="O289" i="35"/>
  <c r="O290" i="35"/>
  <c r="O291" i="35"/>
  <c r="O292" i="35"/>
  <c r="O293" i="35"/>
  <c r="O294" i="35"/>
  <c r="O295" i="35"/>
  <c r="O296" i="35"/>
  <c r="O297" i="35"/>
  <c r="O298" i="35"/>
  <c r="O299" i="35"/>
  <c r="O300" i="35"/>
  <c r="O301" i="35"/>
  <c r="O302" i="35"/>
  <c r="O303" i="35"/>
  <c r="O304" i="35"/>
  <c r="O305" i="35"/>
  <c r="O306" i="35"/>
  <c r="O307" i="35"/>
  <c r="O308" i="35"/>
  <c r="O309" i="35"/>
  <c r="O310" i="35"/>
  <c r="O311" i="35"/>
  <c r="O312" i="35"/>
  <c r="O313" i="35"/>
  <c r="O314" i="35"/>
  <c r="O315" i="35"/>
  <c r="O316" i="35"/>
  <c r="O317" i="35"/>
  <c r="O318" i="35"/>
  <c r="O319" i="35"/>
  <c r="O320" i="35"/>
  <c r="O321" i="35"/>
  <c r="O322" i="35"/>
  <c r="O323" i="35"/>
  <c r="O324" i="35"/>
  <c r="O325" i="35"/>
  <c r="O326" i="35"/>
  <c r="O327" i="35"/>
  <c r="O328" i="35"/>
  <c r="O329" i="35"/>
  <c r="O330" i="35"/>
  <c r="O331" i="35"/>
  <c r="O332" i="35"/>
  <c r="O333" i="35"/>
  <c r="O334" i="35"/>
  <c r="O335" i="35"/>
  <c r="O336" i="35"/>
  <c r="O337" i="35"/>
  <c r="O338" i="35"/>
  <c r="O339" i="35"/>
  <c r="O340" i="35"/>
  <c r="O341" i="35"/>
  <c r="O342" i="35"/>
  <c r="O343" i="35"/>
  <c r="O344" i="35"/>
  <c r="O345" i="35"/>
  <c r="O346" i="35"/>
  <c r="O347" i="35"/>
  <c r="O348" i="35"/>
  <c r="O349" i="35"/>
  <c r="O350" i="35"/>
  <c r="O351" i="35"/>
  <c r="O352" i="35"/>
  <c r="O353" i="35"/>
  <c r="O354" i="35"/>
  <c r="O355" i="35"/>
  <c r="O356" i="35"/>
  <c r="O357" i="35"/>
  <c r="O358" i="35"/>
  <c r="O359" i="35"/>
  <c r="O360" i="35"/>
  <c r="O361" i="35"/>
  <c r="O362" i="35"/>
  <c r="O363" i="35"/>
  <c r="O364" i="35"/>
  <c r="O365" i="35"/>
  <c r="O366" i="35"/>
  <c r="O367" i="35"/>
  <c r="O368" i="35"/>
  <c r="O369" i="35"/>
  <c r="O370" i="35"/>
  <c r="O371" i="35"/>
  <c r="O372" i="35"/>
  <c r="O373" i="35"/>
  <c r="O374" i="35"/>
  <c r="O375" i="35"/>
  <c r="O376" i="35"/>
  <c r="O377" i="35"/>
  <c r="O378" i="35"/>
  <c r="O379" i="35"/>
  <c r="O380" i="35"/>
  <c r="O381" i="35"/>
  <c r="O382" i="35"/>
  <c r="O383" i="35"/>
  <c r="O384" i="35"/>
  <c r="O385" i="35"/>
  <c r="O386" i="35"/>
  <c r="O387" i="35"/>
  <c r="O388" i="35"/>
  <c r="O389" i="35"/>
  <c r="O390" i="35"/>
  <c r="O391" i="35"/>
  <c r="O392" i="35"/>
  <c r="O393" i="35"/>
  <c r="O394" i="35"/>
  <c r="O395" i="35"/>
  <c r="O396" i="35"/>
  <c r="O397" i="35"/>
  <c r="O398" i="35"/>
  <c r="O399" i="35"/>
  <c r="O400" i="35"/>
  <c r="O401" i="35"/>
  <c r="O402" i="35"/>
  <c r="O403" i="35"/>
  <c r="O404" i="35"/>
  <c r="O405" i="35"/>
  <c r="O406" i="35"/>
  <c r="O407" i="35"/>
  <c r="O408" i="35"/>
  <c r="O409" i="35"/>
  <c r="O410" i="35"/>
  <c r="O411" i="35"/>
  <c r="O412" i="35"/>
  <c r="O413" i="35"/>
  <c r="O414" i="35"/>
  <c r="O415" i="35"/>
  <c r="O416" i="35"/>
  <c r="O417" i="35"/>
  <c r="O418" i="35"/>
  <c r="O419" i="35"/>
  <c r="O420" i="35"/>
  <c r="O421" i="35"/>
  <c r="O422" i="35"/>
  <c r="O423" i="35"/>
  <c r="O424" i="35"/>
  <c r="O425" i="35"/>
  <c r="O426" i="35"/>
  <c r="O427" i="35"/>
  <c r="O428" i="35"/>
  <c r="O429" i="35"/>
  <c r="O430" i="35"/>
  <c r="O431" i="35"/>
  <c r="O432" i="35"/>
  <c r="O433" i="35"/>
  <c r="O434" i="35"/>
  <c r="O435" i="35"/>
  <c r="O436" i="35"/>
  <c r="O437" i="35"/>
  <c r="O438" i="35"/>
  <c r="O439" i="35"/>
  <c r="O440" i="35"/>
  <c r="O441" i="35"/>
  <c r="O442" i="35"/>
  <c r="O443" i="35"/>
  <c r="O444" i="35"/>
  <c r="O445" i="35"/>
  <c r="O446" i="35"/>
  <c r="O447" i="35"/>
  <c r="O448" i="35"/>
  <c r="O449" i="35"/>
  <c r="O450" i="35"/>
  <c r="O451" i="35"/>
  <c r="O452" i="35"/>
  <c r="O453" i="35"/>
  <c r="O454" i="35"/>
  <c r="O455" i="35"/>
  <c r="O456" i="35"/>
  <c r="O457" i="35"/>
  <c r="O458" i="35"/>
  <c r="O459" i="35"/>
  <c r="O460" i="35"/>
  <c r="O461" i="35"/>
  <c r="O462" i="35"/>
  <c r="O463" i="35"/>
  <c r="O464" i="35"/>
  <c r="O465" i="35"/>
  <c r="O466" i="35"/>
  <c r="O467" i="35"/>
  <c r="O468" i="35"/>
  <c r="O469" i="35"/>
  <c r="O470" i="35"/>
  <c r="O471" i="35"/>
  <c r="O472" i="35"/>
  <c r="O473" i="35"/>
  <c r="O474" i="35"/>
  <c r="O475" i="35"/>
  <c r="O476" i="35"/>
  <c r="O477" i="35"/>
  <c r="O478" i="35"/>
  <c r="O479" i="35"/>
  <c r="O480" i="35"/>
  <c r="O481" i="35"/>
  <c r="O482" i="35"/>
  <c r="O483" i="35"/>
  <c r="O484" i="35"/>
  <c r="O485" i="35"/>
  <c r="O486" i="35"/>
  <c r="O487" i="35"/>
  <c r="O488" i="35"/>
  <c r="O489" i="35"/>
  <c r="O490" i="35"/>
  <c r="O491" i="35"/>
  <c r="O492" i="35"/>
  <c r="O493" i="35"/>
  <c r="O494" i="35"/>
  <c r="O495" i="35"/>
  <c r="O496" i="35"/>
  <c r="O497" i="35"/>
  <c r="O498" i="35"/>
  <c r="O499" i="35"/>
  <c r="O500" i="35"/>
  <c r="O501" i="35"/>
  <c r="O502" i="35"/>
  <c r="O503" i="35"/>
  <c r="O504" i="35"/>
  <c r="O505" i="35"/>
  <c r="O506" i="35"/>
  <c r="O507" i="35"/>
  <c r="O508" i="35"/>
  <c r="O509" i="35"/>
  <c r="O510" i="35"/>
  <c r="O511" i="35"/>
  <c r="O512" i="35"/>
  <c r="O513" i="35"/>
  <c r="O514" i="35"/>
  <c r="O515" i="35"/>
  <c r="O516" i="35"/>
  <c r="O517" i="35"/>
  <c r="O518" i="35"/>
  <c r="O519" i="35"/>
  <c r="O520" i="35"/>
  <c r="O521" i="35"/>
  <c r="O522" i="35"/>
  <c r="O523" i="35"/>
  <c r="O524" i="35"/>
  <c r="O525" i="35"/>
  <c r="O526" i="35"/>
  <c r="O527" i="35"/>
  <c r="O528" i="35"/>
  <c r="O529" i="35"/>
  <c r="O530" i="35"/>
  <c r="O531" i="35"/>
  <c r="O532" i="35"/>
  <c r="O533" i="35"/>
  <c r="O534" i="35"/>
  <c r="O535" i="35"/>
  <c r="O536" i="35"/>
  <c r="O537" i="35"/>
  <c r="O538" i="35"/>
  <c r="O539" i="35"/>
  <c r="O540" i="35"/>
  <c r="O563" i="35"/>
  <c r="O564" i="35"/>
  <c r="O565" i="35"/>
  <c r="O566" i="35"/>
  <c r="O567" i="35"/>
  <c r="O568" i="35"/>
  <c r="O569" i="35"/>
  <c r="O570" i="35"/>
  <c r="O571" i="35"/>
  <c r="O572" i="35"/>
  <c r="O573" i="35"/>
  <c r="O574" i="35"/>
  <c r="O575" i="35"/>
  <c r="O576" i="35"/>
  <c r="O577" i="35"/>
  <c r="O578" i="35"/>
  <c r="O579" i="35"/>
  <c r="O580" i="35"/>
  <c r="O581" i="35"/>
  <c r="O582" i="35"/>
  <c r="O583" i="35"/>
  <c r="O584" i="35"/>
  <c r="O607" i="35"/>
  <c r="O608" i="35"/>
  <c r="O609" i="35"/>
  <c r="O610" i="35"/>
  <c r="O611" i="35"/>
  <c r="O612" i="35"/>
  <c r="O613" i="35"/>
  <c r="O614" i="35"/>
  <c r="O615" i="35"/>
  <c r="O616" i="35"/>
  <c r="O617" i="35"/>
  <c r="O2" i="35"/>
  <c r="AD3" i="22"/>
  <c r="N223" i="35" s="1"/>
  <c r="AD4" i="22"/>
  <c r="AD5" i="22"/>
  <c r="N575" i="35" s="1"/>
  <c r="AD6" i="22"/>
  <c r="N8" i="35" s="1"/>
  <c r="AD7" i="22"/>
  <c r="N359" i="35" s="1"/>
  <c r="AD8" i="22"/>
  <c r="AD9" i="22"/>
  <c r="N195" i="35" s="1"/>
  <c r="AD10" i="22"/>
  <c r="N376" i="35" s="1"/>
  <c r="AD11" i="22"/>
  <c r="N233" i="35" s="1"/>
  <c r="N325" i="35"/>
  <c r="AD50" i="22"/>
  <c r="N475" i="35" s="1"/>
  <c r="AD51" i="22"/>
  <c r="N317" i="35" s="1"/>
  <c r="AD52" i="22"/>
  <c r="N455" i="35" s="1"/>
  <c r="AD13" i="22"/>
  <c r="AD14" i="22"/>
  <c r="N533" i="35" s="1"/>
  <c r="AD15" i="22"/>
  <c r="N366" i="35" s="1"/>
  <c r="AD16" i="22"/>
  <c r="N524" i="35" s="1"/>
  <c r="AD17" i="22"/>
  <c r="AD18" i="22"/>
  <c r="N271" i="35" s="1"/>
  <c r="AD41" i="22"/>
  <c r="N489" i="35" s="1"/>
  <c r="AD42" i="22"/>
  <c r="N570" i="35" s="1"/>
  <c r="N254" i="35"/>
  <c r="AD21" i="22"/>
  <c r="N51" i="35" s="1"/>
  <c r="AD22" i="22"/>
  <c r="N419" i="35" s="1"/>
  <c r="AD23" i="22"/>
  <c r="AD24" i="22"/>
  <c r="N91" i="35" s="1"/>
  <c r="AD25" i="22"/>
  <c r="N609" i="35" s="1"/>
  <c r="AD43" i="22"/>
  <c r="N473" i="35" s="1"/>
  <c r="AD44" i="22"/>
  <c r="AD26" i="22"/>
  <c r="N163" i="35" s="1"/>
  <c r="AD27" i="22"/>
  <c r="N390" i="35" s="1"/>
  <c r="AD28" i="22"/>
  <c r="N179" i="35" s="1"/>
  <c r="AD29" i="22"/>
  <c r="N508" i="35" s="1"/>
  <c r="AD30" i="22"/>
  <c r="N346" i="35" s="1"/>
  <c r="N287" i="35"/>
  <c r="AD32" i="22"/>
  <c r="N403" i="35" s="1"/>
  <c r="AD45" i="22"/>
  <c r="N442" i="35" s="1"/>
  <c r="AD46" i="22"/>
  <c r="N497" i="35" s="1"/>
  <c r="N674" i="35" s="1"/>
  <c r="AD47" i="22"/>
  <c r="N428" i="35" s="1"/>
  <c r="AD48" i="22"/>
  <c r="N83" i="35" s="1"/>
  <c r="AD33" i="22"/>
  <c r="AD34" i="22"/>
  <c r="N32" i="35" s="1"/>
  <c r="AD35" i="22"/>
  <c r="AD36" i="22"/>
  <c r="AD37" i="22"/>
  <c r="AD38" i="22"/>
  <c r="N115" i="35" s="1"/>
  <c r="AD39" i="22"/>
  <c r="N131" i="35" s="1"/>
  <c r="AD49" i="22"/>
  <c r="N333" i="35" s="1"/>
  <c r="AD40" i="22"/>
  <c r="AD53" i="22"/>
  <c r="N75" i="35" s="1"/>
  <c r="AD59" i="22"/>
  <c r="AD54" i="22"/>
  <c r="AD60" i="22"/>
  <c r="AD61" i="22"/>
  <c r="AD55" i="22"/>
  <c r="AD58" i="22"/>
  <c r="AD62" i="22"/>
  <c r="AD63" i="22"/>
  <c r="AD64" i="22"/>
  <c r="AD2" i="22"/>
  <c r="N36" i="35" s="1"/>
  <c r="N454" i="35"/>
  <c r="N458" i="35"/>
  <c r="N461" i="35"/>
  <c r="N456" i="35"/>
  <c r="N460" i="35"/>
  <c r="N222" i="35"/>
  <c r="N226" i="35"/>
  <c r="N227" i="35"/>
  <c r="N231" i="35"/>
  <c r="N228" i="35"/>
  <c r="N225" i="35"/>
  <c r="N40" i="35"/>
  <c r="N258" i="35"/>
  <c r="N262" i="35"/>
  <c r="N255" i="35"/>
  <c r="N259" i="35"/>
  <c r="N263" i="35"/>
  <c r="N256" i="35"/>
  <c r="N260" i="35"/>
  <c r="N264" i="35"/>
  <c r="N257" i="35"/>
  <c r="N261" i="35"/>
  <c r="N265" i="35"/>
  <c r="N247" i="35"/>
  <c r="N244" i="35"/>
  <c r="N248" i="35"/>
  <c r="N245" i="35"/>
  <c r="N249" i="35"/>
  <c r="P1080" i="36"/>
  <c r="I1080" i="36"/>
  <c r="K1080" i="36"/>
  <c r="P1081" i="36"/>
  <c r="I1081" i="36"/>
  <c r="K1081" i="36"/>
  <c r="P1082" i="36"/>
  <c r="I1082" i="36"/>
  <c r="K1082" i="36"/>
  <c r="P1083" i="36"/>
  <c r="I1083" i="36"/>
  <c r="K1083" i="36"/>
  <c r="P1084" i="36"/>
  <c r="I1084" i="36"/>
  <c r="K1084" i="36"/>
  <c r="P1085" i="36"/>
  <c r="I1085" i="36"/>
  <c r="K1085" i="36"/>
  <c r="P1086" i="36"/>
  <c r="I1086" i="36"/>
  <c r="K1086" i="36"/>
  <c r="P1087" i="36"/>
  <c r="I1087" i="36"/>
  <c r="K1087" i="36"/>
  <c r="P1088" i="36"/>
  <c r="I1088" i="36"/>
  <c r="K1088" i="36"/>
  <c r="P1089" i="36"/>
  <c r="I1089" i="36"/>
  <c r="K1089" i="36"/>
  <c r="P1090" i="36"/>
  <c r="I1090" i="36"/>
  <c r="K1090" i="36"/>
  <c r="E16" i="38"/>
  <c r="D3" i="35"/>
  <c r="C245" i="38" s="1"/>
  <c r="D4" i="35"/>
  <c r="C246" i="38" s="1"/>
  <c r="D5" i="35"/>
  <c r="D6" i="35"/>
  <c r="C248" i="38" s="1"/>
  <c r="D7" i="35"/>
  <c r="C249" i="38" s="1"/>
  <c r="D8" i="35"/>
  <c r="D9" i="35"/>
  <c r="C251" i="38" s="1"/>
  <c r="D10" i="35"/>
  <c r="C252" i="38" s="1"/>
  <c r="D11" i="35"/>
  <c r="C253" i="38" s="1"/>
  <c r="D12" i="35"/>
  <c r="D13" i="35"/>
  <c r="D14" i="35"/>
  <c r="D15" i="35"/>
  <c r="D16" i="35"/>
  <c r="D17" i="35"/>
  <c r="D18" i="35"/>
  <c r="D19" i="35"/>
  <c r="D20" i="35"/>
  <c r="D21" i="35"/>
  <c r="D22" i="35"/>
  <c r="D23" i="35"/>
  <c r="D24" i="35"/>
  <c r="C299" i="38" s="1"/>
  <c r="D25" i="35"/>
  <c r="D26" i="35"/>
  <c r="C301" i="38" s="1"/>
  <c r="D27" i="35"/>
  <c r="C302" i="38" s="1"/>
  <c r="D28" i="35"/>
  <c r="D29" i="35"/>
  <c r="D30" i="35"/>
  <c r="C305" i="38" s="1"/>
  <c r="D31" i="35"/>
  <c r="C306" i="38" s="1"/>
  <c r="D32" i="35"/>
  <c r="C307" i="38" s="1"/>
  <c r="H307" i="38" s="1"/>
  <c r="D33" i="35"/>
  <c r="C308" i="38" s="1"/>
  <c r="D34" i="35"/>
  <c r="C309" i="38" s="1"/>
  <c r="H309" i="38" s="1"/>
  <c r="D35" i="35"/>
  <c r="C46" i="38" s="1"/>
  <c r="D36" i="35"/>
  <c r="D37" i="35"/>
  <c r="D38" i="35"/>
  <c r="C49" i="38" s="1"/>
  <c r="H49" i="38" s="1"/>
  <c r="D39" i="35"/>
  <c r="C50" i="38" s="1"/>
  <c r="D40" i="35"/>
  <c r="C51" i="38" s="1"/>
  <c r="D41" i="35"/>
  <c r="D42" i="35"/>
  <c r="C53" i="38" s="1"/>
  <c r="E53" i="38" s="1"/>
  <c r="D43" i="35"/>
  <c r="C54" i="38" s="1"/>
  <c r="D44" i="35"/>
  <c r="C55" i="38" s="1"/>
  <c r="E55" i="38" s="1"/>
  <c r="D45" i="35"/>
  <c r="D46" i="35"/>
  <c r="C376" i="38" s="1"/>
  <c r="D47" i="35"/>
  <c r="C377" i="38" s="1"/>
  <c r="D48" i="35"/>
  <c r="C378" i="38" s="1"/>
  <c r="D49" i="35"/>
  <c r="D50" i="35"/>
  <c r="C380" i="38" s="1"/>
  <c r="H380" i="38" s="1"/>
  <c r="D51" i="35"/>
  <c r="C381" i="38" s="1"/>
  <c r="D52" i="35"/>
  <c r="C382" i="38" s="1"/>
  <c r="D53" i="35"/>
  <c r="D54" i="35"/>
  <c r="C384" i="38" s="1"/>
  <c r="D55" i="35"/>
  <c r="C385" i="38" s="1"/>
  <c r="D56" i="35"/>
  <c r="C386" i="38" s="1"/>
  <c r="D57" i="35"/>
  <c r="C156" i="38" s="1"/>
  <c r="D58" i="35"/>
  <c r="C157" i="38" s="1"/>
  <c r="D59" i="35"/>
  <c r="C158" i="38" s="1"/>
  <c r="D60" i="35"/>
  <c r="D61" i="35"/>
  <c r="D62" i="35"/>
  <c r="C161" i="38" s="1"/>
  <c r="D63" i="35"/>
  <c r="C162" i="38" s="1"/>
  <c r="D64" i="35"/>
  <c r="C163" i="38" s="1"/>
  <c r="H163" i="38" s="1"/>
  <c r="D65" i="35"/>
  <c r="D66" i="35"/>
  <c r="C165" i="38" s="1"/>
  <c r="E165" i="38" s="1"/>
  <c r="D67" i="35"/>
  <c r="C166" i="38" s="1"/>
  <c r="D68" i="35"/>
  <c r="C310" i="38" s="1"/>
  <c r="D69" i="35"/>
  <c r="D70" i="35"/>
  <c r="C312" i="38" s="1"/>
  <c r="E312" i="38" s="1"/>
  <c r="D71" i="35"/>
  <c r="C313" i="38" s="1"/>
  <c r="D72" i="35"/>
  <c r="D73" i="35"/>
  <c r="C315" i="38" s="1"/>
  <c r="D74" i="35"/>
  <c r="C316" i="38" s="1"/>
  <c r="H316" i="38" s="1"/>
  <c r="D75" i="35"/>
  <c r="C317" i="38" s="1"/>
  <c r="D76" i="35"/>
  <c r="D77" i="35"/>
  <c r="C319" i="38" s="1"/>
  <c r="D78" i="35"/>
  <c r="C320" i="38" s="1"/>
  <c r="E320" i="38" s="1"/>
  <c r="D79" i="35"/>
  <c r="D80" i="35"/>
  <c r="C289" i="38" s="1"/>
  <c r="D81" i="35"/>
  <c r="C290" i="38" s="1"/>
  <c r="D82" i="35"/>
  <c r="C291" i="38" s="1"/>
  <c r="D83" i="35"/>
  <c r="C292" i="38" s="1"/>
  <c r="D84" i="35"/>
  <c r="D85" i="35"/>
  <c r="D86" i="35"/>
  <c r="C295" i="38" s="1"/>
  <c r="D87" i="35"/>
  <c r="C296" i="38" s="1"/>
  <c r="D88" i="35"/>
  <c r="C297" i="38" s="1"/>
  <c r="D89" i="35"/>
  <c r="C298" i="38" s="1"/>
  <c r="D90" i="35"/>
  <c r="C409" i="38" s="1"/>
  <c r="E409" i="38" s="1"/>
  <c r="D91" i="35"/>
  <c r="C410" i="38" s="1"/>
  <c r="D92" i="35"/>
  <c r="C411" i="38" s="1"/>
  <c r="H411" i="38" s="1"/>
  <c r="D93" i="35"/>
  <c r="C412" i="38" s="1"/>
  <c r="D94" i="35"/>
  <c r="C413" i="38" s="1"/>
  <c r="E413" i="38" s="1"/>
  <c r="D95" i="35"/>
  <c r="C414" i="38" s="1"/>
  <c r="D96" i="35"/>
  <c r="C415" i="38" s="1"/>
  <c r="D97" i="35"/>
  <c r="D98" i="35"/>
  <c r="C417" i="38" s="1"/>
  <c r="D99" i="35"/>
  <c r="C418" i="38" s="1"/>
  <c r="D100" i="35"/>
  <c r="C419" i="38" s="1"/>
  <c r="D101" i="35"/>
  <c r="C442" i="38" s="1"/>
  <c r="D102" i="35"/>
  <c r="C443" i="38" s="1"/>
  <c r="E443" i="38" s="1"/>
  <c r="D103" i="35"/>
  <c r="C444" i="38" s="1"/>
  <c r="D104" i="35"/>
  <c r="C445" i="38" s="1"/>
  <c r="D105" i="35"/>
  <c r="D106" i="35"/>
  <c r="C447" i="38" s="1"/>
  <c r="D107" i="35"/>
  <c r="C448" i="38" s="1"/>
  <c r="D108" i="35"/>
  <c r="C449" i="38" s="1"/>
  <c r="H449" i="38" s="1"/>
  <c r="D109" i="35"/>
  <c r="C450" i="38" s="1"/>
  <c r="D110" i="35"/>
  <c r="C451" i="38" s="1"/>
  <c r="E451" i="38" s="1"/>
  <c r="D111" i="35"/>
  <c r="C452" i="38" s="1"/>
  <c r="D112" i="35"/>
  <c r="D113" i="35"/>
  <c r="D114" i="35"/>
  <c r="D115" i="35"/>
  <c r="D116" i="35"/>
  <c r="D117" i="35"/>
  <c r="D118" i="35"/>
  <c r="D119" i="35"/>
  <c r="D120" i="35"/>
  <c r="D121" i="35"/>
  <c r="D122" i="35"/>
  <c r="D123" i="35"/>
  <c r="D124" i="35"/>
  <c r="D125" i="35"/>
  <c r="D126" i="35"/>
  <c r="D127" i="35"/>
  <c r="D128" i="35"/>
  <c r="D129" i="35"/>
  <c r="D130" i="35"/>
  <c r="D131" i="35"/>
  <c r="D132" i="35"/>
  <c r="D133" i="35"/>
  <c r="D134" i="35"/>
  <c r="C35" i="38" s="1"/>
  <c r="E35" i="38" s="1"/>
  <c r="D135" i="35"/>
  <c r="C36" i="38" s="1"/>
  <c r="D136" i="35"/>
  <c r="C37" i="38" s="1"/>
  <c r="D137" i="35"/>
  <c r="D138" i="35"/>
  <c r="C39" i="38" s="1"/>
  <c r="D139" i="35"/>
  <c r="C40" i="38" s="1"/>
  <c r="D140" i="35"/>
  <c r="C41" i="38" s="1"/>
  <c r="D141" i="35"/>
  <c r="C42" i="38" s="1"/>
  <c r="D142" i="35"/>
  <c r="C43" i="38" s="1"/>
  <c r="D143" i="35"/>
  <c r="C44" i="38" s="1"/>
  <c r="D144" i="35"/>
  <c r="C45" i="38" s="1"/>
  <c r="H45" i="38" s="1"/>
  <c r="D145" i="35"/>
  <c r="D146" i="35"/>
  <c r="C179" i="38" s="1"/>
  <c r="D147" i="35"/>
  <c r="C180" i="38" s="1"/>
  <c r="D148" i="35"/>
  <c r="C181" i="38" s="1"/>
  <c r="D149" i="35"/>
  <c r="C182" i="38" s="1"/>
  <c r="D150" i="35"/>
  <c r="C183" i="38" s="1"/>
  <c r="D151" i="35"/>
  <c r="C184" i="38" s="1"/>
  <c r="D152" i="35"/>
  <c r="D153" i="35"/>
  <c r="D154" i="35"/>
  <c r="C187" i="38" s="1"/>
  <c r="D155" i="35"/>
  <c r="C188" i="38" s="1"/>
  <c r="D156" i="35"/>
  <c r="C79" i="38" s="1"/>
  <c r="E79" i="38" s="1"/>
  <c r="D157" i="35"/>
  <c r="D158" i="35"/>
  <c r="C81" i="38" s="1"/>
  <c r="D159" i="35"/>
  <c r="C82" i="38" s="1"/>
  <c r="D160" i="35"/>
  <c r="C83" i="38" s="1"/>
  <c r="D161" i="35"/>
  <c r="D162" i="35"/>
  <c r="C85" i="38" s="1"/>
  <c r="D163" i="35"/>
  <c r="C86" i="38" s="1"/>
  <c r="D164" i="35"/>
  <c r="C87" i="38" s="1"/>
  <c r="D165" i="35"/>
  <c r="D166" i="35"/>
  <c r="C89" i="38" s="1"/>
  <c r="E89" i="38" s="1"/>
  <c r="D167" i="35"/>
  <c r="C189" i="38" s="1"/>
  <c r="D168" i="35"/>
  <c r="C190" i="38" s="1"/>
  <c r="D169" i="35"/>
  <c r="D170" i="35"/>
  <c r="C192" i="38" s="1"/>
  <c r="D171" i="35"/>
  <c r="C193" i="38" s="1"/>
  <c r="D172" i="35"/>
  <c r="D173" i="35"/>
  <c r="D174" i="35"/>
  <c r="C196" i="38" s="1"/>
  <c r="D175" i="35"/>
  <c r="C197" i="38" s="1"/>
  <c r="D176" i="35"/>
  <c r="C198" i="38" s="1"/>
  <c r="D177" i="35"/>
  <c r="C199" i="38" s="1"/>
  <c r="D178" i="35"/>
  <c r="C420" i="38" s="1"/>
  <c r="D179" i="35"/>
  <c r="C421" i="38" s="1"/>
  <c r="D180" i="35"/>
  <c r="C422" i="38" s="1"/>
  <c r="D181" i="35"/>
  <c r="D182" i="35"/>
  <c r="C424" i="38" s="1"/>
  <c r="D183" i="35"/>
  <c r="C425" i="38" s="1"/>
  <c r="D184" i="35"/>
  <c r="C426" i="38" s="1"/>
  <c r="H426" i="38" s="1"/>
  <c r="D185" i="35"/>
  <c r="C427" i="38" s="1"/>
  <c r="D186" i="35"/>
  <c r="C428" i="38" s="1"/>
  <c r="H428" i="38" s="1"/>
  <c r="D187" i="35"/>
  <c r="C429" i="38" s="1"/>
  <c r="D188" i="35"/>
  <c r="C430" i="38" s="1"/>
  <c r="D189" i="35"/>
  <c r="D190" i="35"/>
  <c r="C135" i="38" s="1"/>
  <c r="D191" i="35"/>
  <c r="C136" i="38" s="1"/>
  <c r="D192" i="35"/>
  <c r="C137" i="38" s="1"/>
  <c r="E137" i="38" s="1"/>
  <c r="D193" i="35"/>
  <c r="D194" i="35"/>
  <c r="C139" i="38" s="1"/>
  <c r="D195" i="35"/>
  <c r="C140" i="38" s="1"/>
  <c r="D196" i="35"/>
  <c r="D197" i="35"/>
  <c r="D198" i="35"/>
  <c r="C143" i="38" s="1"/>
  <c r="D199" i="35"/>
  <c r="C144" i="38" s="1"/>
  <c r="D200" i="35"/>
  <c r="C475" i="38" s="1"/>
  <c r="D201" i="35"/>
  <c r="D202" i="35"/>
  <c r="C477" i="38" s="1"/>
  <c r="H477" i="38" s="1"/>
  <c r="D203" i="35"/>
  <c r="C478" i="38" s="1"/>
  <c r="D204" i="35"/>
  <c r="C479" i="38" s="1"/>
  <c r="D205" i="35"/>
  <c r="D206" i="35"/>
  <c r="C481" i="38" s="1"/>
  <c r="D207" i="35"/>
  <c r="C482" i="38" s="1"/>
  <c r="D208" i="35"/>
  <c r="D209" i="35"/>
  <c r="D210" i="35"/>
  <c r="C485" i="38" s="1"/>
  <c r="E485" i="38" s="1"/>
  <c r="D211" i="35"/>
  <c r="D212" i="35"/>
  <c r="D213" i="35"/>
  <c r="D214" i="35"/>
  <c r="D215" i="35"/>
  <c r="D216" i="35"/>
  <c r="D217" i="35"/>
  <c r="D218" i="35"/>
  <c r="D219" i="35"/>
  <c r="D220" i="35"/>
  <c r="D221" i="35"/>
  <c r="D222" i="35"/>
  <c r="C365" i="38" s="1"/>
  <c r="D223" i="35"/>
  <c r="C366" i="38" s="1"/>
  <c r="D224" i="35"/>
  <c r="C367" i="38" s="1"/>
  <c r="D225" i="35"/>
  <c r="D226" i="35"/>
  <c r="C369" i="38" s="1"/>
  <c r="H369" i="38" s="1"/>
  <c r="D227" i="35"/>
  <c r="C370" i="38" s="1"/>
  <c r="D228" i="35"/>
  <c r="D229" i="35"/>
  <c r="D230" i="35"/>
  <c r="C373" i="38" s="1"/>
  <c r="H373" i="38" s="1"/>
  <c r="D231" i="35"/>
  <c r="C374" i="38" s="1"/>
  <c r="D232" i="35"/>
  <c r="C375" i="38" s="1"/>
  <c r="D233" i="35"/>
  <c r="D234" i="35"/>
  <c r="C25" i="38" s="1"/>
  <c r="D235" i="35"/>
  <c r="C26" i="38" s="1"/>
  <c r="D236" i="35"/>
  <c r="C27" i="38" s="1"/>
  <c r="D237" i="35"/>
  <c r="D238" i="35"/>
  <c r="C29" i="38" s="1"/>
  <c r="D239" i="35"/>
  <c r="C30" i="38" s="1"/>
  <c r="D240" i="35"/>
  <c r="C31" i="38" s="1"/>
  <c r="D241" i="35"/>
  <c r="D242" i="35"/>
  <c r="C33" i="38" s="1"/>
  <c r="D243" i="35"/>
  <c r="C34" i="38" s="1"/>
  <c r="D244" i="35"/>
  <c r="D245" i="35"/>
  <c r="D246" i="35"/>
  <c r="C103" i="38" s="1"/>
  <c r="D247" i="35"/>
  <c r="C104" i="38" s="1"/>
  <c r="D248" i="35"/>
  <c r="D249" i="35"/>
  <c r="D250" i="35"/>
  <c r="C107" i="38" s="1"/>
  <c r="D251" i="35"/>
  <c r="C108" i="38" s="1"/>
  <c r="D252" i="35"/>
  <c r="C109" i="38" s="1"/>
  <c r="D253" i="35"/>
  <c r="D254" i="35"/>
  <c r="C111" i="38" s="1"/>
  <c r="D255" i="35"/>
  <c r="D256" i="35"/>
  <c r="D257" i="35"/>
  <c r="D258" i="35"/>
  <c r="D259" i="35"/>
  <c r="D260" i="35"/>
  <c r="D261" i="35"/>
  <c r="D262" i="35"/>
  <c r="D263" i="35"/>
  <c r="D264" i="35"/>
  <c r="D265" i="35"/>
  <c r="D266" i="35"/>
  <c r="C332" i="38" s="1"/>
  <c r="D267" i="35"/>
  <c r="C333" i="38" s="1"/>
  <c r="D268" i="35"/>
  <c r="C334" i="38" s="1"/>
  <c r="D269" i="35"/>
  <c r="C335" i="38" s="1"/>
  <c r="D270" i="35"/>
  <c r="C336" i="38" s="1"/>
  <c r="H336" i="38" s="1"/>
  <c r="D271" i="35"/>
  <c r="C337" i="38" s="1"/>
  <c r="D272" i="35"/>
  <c r="C338" i="38" s="1"/>
  <c r="D273" i="35"/>
  <c r="C339" i="38" s="1"/>
  <c r="D274" i="35"/>
  <c r="C340" i="38" s="1"/>
  <c r="D275" i="35"/>
  <c r="C341" i="38" s="1"/>
  <c r="D276" i="35"/>
  <c r="C342" i="38" s="1"/>
  <c r="D277" i="35"/>
  <c r="D278" i="35"/>
  <c r="C322" i="38" s="1"/>
  <c r="H322" i="38" s="1"/>
  <c r="D279" i="35"/>
  <c r="C323" i="38" s="1"/>
  <c r="D280" i="35"/>
  <c r="C324" i="38" s="1"/>
  <c r="D281" i="35"/>
  <c r="D282" i="35"/>
  <c r="C326" i="38" s="1"/>
  <c r="D283" i="35"/>
  <c r="C327" i="38" s="1"/>
  <c r="D284" i="35"/>
  <c r="D285" i="35"/>
  <c r="D286" i="35"/>
  <c r="C330" i="38" s="1"/>
  <c r="E330" i="38" s="1"/>
  <c r="D287" i="35"/>
  <c r="C331" i="38" s="1"/>
  <c r="D288" i="35"/>
  <c r="C266" i="38" s="1"/>
  <c r="D289" i="35"/>
  <c r="D290" i="35"/>
  <c r="C268" i="38" s="1"/>
  <c r="D291" i="35"/>
  <c r="C269" i="38" s="1"/>
  <c r="D292" i="35"/>
  <c r="C270" i="38" s="1"/>
  <c r="D293" i="35"/>
  <c r="C271" i="38" s="1"/>
  <c r="D294" i="35"/>
  <c r="C272" i="38" s="1"/>
  <c r="D295" i="35"/>
  <c r="C273" i="38" s="1"/>
  <c r="D296" i="35"/>
  <c r="C274" i="38" s="1"/>
  <c r="D297" i="35"/>
  <c r="D298" i="35"/>
  <c r="C276" i="38" s="1"/>
  <c r="D299" i="35"/>
  <c r="C486" i="38" s="1"/>
  <c r="D300" i="35"/>
  <c r="C487" i="38" s="1"/>
  <c r="D301" i="35"/>
  <c r="C496" i="38" s="1"/>
  <c r="D302" i="35"/>
  <c r="C488" i="38" s="1"/>
  <c r="D303" i="35"/>
  <c r="C489" i="38" s="1"/>
  <c r="D304" i="35"/>
  <c r="C490" i="38" s="1"/>
  <c r="D305" i="35"/>
  <c r="C491" i="38" s="1"/>
  <c r="D306" i="35"/>
  <c r="C492" i="38" s="1"/>
  <c r="D307" i="35"/>
  <c r="C493" i="38" s="1"/>
  <c r="D308" i="35"/>
  <c r="C494" i="38" s="1"/>
  <c r="D309" i="35"/>
  <c r="C495" i="38" s="1"/>
  <c r="D310" i="35"/>
  <c r="C343" i="38" s="1"/>
  <c r="D311" i="35"/>
  <c r="C344" i="38" s="1"/>
  <c r="D312" i="35"/>
  <c r="D313" i="35"/>
  <c r="C346" i="38" s="1"/>
  <c r="D314" i="35"/>
  <c r="C347" i="38" s="1"/>
  <c r="D315" i="35"/>
  <c r="C348" i="38" s="1"/>
  <c r="D316" i="35"/>
  <c r="D317" i="35"/>
  <c r="C350" i="38" s="1"/>
  <c r="D318" i="35"/>
  <c r="C351" i="38" s="1"/>
  <c r="D319" i="35"/>
  <c r="C352" i="38" s="1"/>
  <c r="D320" i="35"/>
  <c r="C353" i="38" s="1"/>
  <c r="H353" i="38" s="1"/>
  <c r="D321" i="35"/>
  <c r="C398" i="38" s="1"/>
  <c r="D322" i="35"/>
  <c r="C399" i="38" s="1"/>
  <c r="D323" i="35"/>
  <c r="C400" i="38" s="1"/>
  <c r="D324" i="35"/>
  <c r="D325" i="35"/>
  <c r="C402" i="38" s="1"/>
  <c r="D326" i="35"/>
  <c r="C403" i="38" s="1"/>
  <c r="D327" i="35"/>
  <c r="C404" i="38" s="1"/>
  <c r="D328" i="35"/>
  <c r="D329" i="35"/>
  <c r="C406" i="38" s="1"/>
  <c r="D330" i="35"/>
  <c r="C407" i="38" s="1"/>
  <c r="D331" i="35"/>
  <c r="C408" i="38" s="1"/>
  <c r="D332" i="35"/>
  <c r="C431" i="38" s="1"/>
  <c r="D333" i="35"/>
  <c r="C432" i="38" s="1"/>
  <c r="D334" i="35"/>
  <c r="C433" i="38" s="1"/>
  <c r="D335" i="35"/>
  <c r="D336" i="35"/>
  <c r="C435" i="38" s="1"/>
  <c r="D337" i="35"/>
  <c r="C436" i="38" s="1"/>
  <c r="D338" i="35"/>
  <c r="C437" i="38" s="1"/>
  <c r="D339" i="35"/>
  <c r="C438" i="38" s="1"/>
  <c r="D340" i="35"/>
  <c r="C439" i="38" s="1"/>
  <c r="D341" i="35"/>
  <c r="C440" i="38" s="1"/>
  <c r="D342" i="35"/>
  <c r="C441" i="38" s="1"/>
  <c r="H441" i="38" s="1"/>
  <c r="D343" i="35"/>
  <c r="D344" i="35"/>
  <c r="D345" i="35"/>
  <c r="D346" i="35"/>
  <c r="D347" i="35"/>
  <c r="D348" i="35"/>
  <c r="D349" i="35"/>
  <c r="D350" i="35"/>
  <c r="D351" i="35"/>
  <c r="D352" i="35"/>
  <c r="D353" i="35"/>
  <c r="D354" i="35"/>
  <c r="C68" i="38" s="1"/>
  <c r="D355" i="35"/>
  <c r="D356" i="35"/>
  <c r="C70" i="38" s="1"/>
  <c r="D357" i="35"/>
  <c r="C71" i="38" s="1"/>
  <c r="D358" i="35"/>
  <c r="C72" i="38" s="1"/>
  <c r="D359" i="35"/>
  <c r="D360" i="35"/>
  <c r="C74" i="38" s="1"/>
  <c r="E74" i="38" s="1"/>
  <c r="D361" i="35"/>
  <c r="C75" i="38" s="1"/>
  <c r="D362" i="35"/>
  <c r="C76" i="38" s="1"/>
  <c r="D363" i="35"/>
  <c r="D364" i="35"/>
  <c r="C78" i="38" s="1"/>
  <c r="D365" i="35"/>
  <c r="C387" i="38" s="1"/>
  <c r="D366" i="35"/>
  <c r="C388" i="38" s="1"/>
  <c r="D367" i="35"/>
  <c r="D368" i="35"/>
  <c r="C390" i="38" s="1"/>
  <c r="D369" i="35"/>
  <c r="C391" i="38" s="1"/>
  <c r="D370" i="35"/>
  <c r="C392" i="38" s="1"/>
  <c r="D371" i="35"/>
  <c r="D372" i="35"/>
  <c r="C394" i="38" s="1"/>
  <c r="D373" i="35"/>
  <c r="C395" i="38" s="1"/>
  <c r="D374" i="35"/>
  <c r="C396" i="38" s="1"/>
  <c r="D375" i="35"/>
  <c r="D376" i="35"/>
  <c r="C167" i="38" s="1"/>
  <c r="D377" i="35"/>
  <c r="C168" i="38" s="1"/>
  <c r="D378" i="35"/>
  <c r="C169" i="38" s="1"/>
  <c r="E169" i="38" s="1"/>
  <c r="D379" i="35"/>
  <c r="C170" i="38" s="1"/>
  <c r="D380" i="35"/>
  <c r="C171" i="38" s="1"/>
  <c r="D381" i="35"/>
  <c r="C172" i="38" s="1"/>
  <c r="D382" i="35"/>
  <c r="C173" i="38" s="1"/>
  <c r="D383" i="35"/>
  <c r="C174" i="38" s="1"/>
  <c r="D384" i="35"/>
  <c r="C175" i="38" s="1"/>
  <c r="D385" i="35"/>
  <c r="C176" i="38" s="1"/>
  <c r="D386" i="35"/>
  <c r="C177" i="38" s="1"/>
  <c r="D387" i="35"/>
  <c r="C90" i="38" s="1"/>
  <c r="D388" i="35"/>
  <c r="C91" i="38" s="1"/>
  <c r="D389" i="35"/>
  <c r="C92" i="38" s="1"/>
  <c r="D390" i="35"/>
  <c r="D391" i="35"/>
  <c r="C94" i="38" s="1"/>
  <c r="D392" i="35"/>
  <c r="C95" i="38" s="1"/>
  <c r="D393" i="35"/>
  <c r="C96" i="38" s="1"/>
  <c r="D394" i="35"/>
  <c r="C97" i="38" s="1"/>
  <c r="D395" i="35"/>
  <c r="C98" i="38" s="1"/>
  <c r="D396" i="35"/>
  <c r="C99" i="38" s="1"/>
  <c r="D397" i="35"/>
  <c r="C100" i="38" s="1"/>
  <c r="D398" i="35"/>
  <c r="D399" i="35"/>
  <c r="D400" i="35"/>
  <c r="D401" i="35"/>
  <c r="D402" i="35"/>
  <c r="D403" i="35"/>
  <c r="D404" i="35"/>
  <c r="D405" i="35"/>
  <c r="D406" i="35"/>
  <c r="D407" i="35"/>
  <c r="D408" i="35"/>
  <c r="D409" i="35"/>
  <c r="C57" i="38" s="1"/>
  <c r="D410" i="35"/>
  <c r="C58" i="38" s="1"/>
  <c r="D411" i="35"/>
  <c r="C59" i="38" s="1"/>
  <c r="D412" i="35"/>
  <c r="C60" i="38" s="1"/>
  <c r="D413" i="35"/>
  <c r="C61" i="38" s="1"/>
  <c r="D414" i="35"/>
  <c r="C62" i="38" s="1"/>
  <c r="D415" i="35"/>
  <c r="C63" i="38" s="1"/>
  <c r="D416" i="35"/>
  <c r="C64" i="38" s="1"/>
  <c r="H64" i="38" s="1"/>
  <c r="D417" i="35"/>
  <c r="C65" i="38" s="1"/>
  <c r="D418" i="35"/>
  <c r="C66" i="38" s="1"/>
  <c r="D419" i="35"/>
  <c r="C67" i="38" s="1"/>
  <c r="D420" i="35"/>
  <c r="C145" i="38" s="1"/>
  <c r="D421" i="35"/>
  <c r="C146" i="38" s="1"/>
  <c r="D422" i="35"/>
  <c r="C147" i="38" s="1"/>
  <c r="D423" i="35"/>
  <c r="C148" i="38" s="1"/>
  <c r="D424" i="35"/>
  <c r="C149" i="38" s="1"/>
  <c r="D425" i="35"/>
  <c r="C150" i="38" s="1"/>
  <c r="D426" i="35"/>
  <c r="C151" i="38" s="1"/>
  <c r="D427" i="35"/>
  <c r="D428" i="35"/>
  <c r="C153" i="38" s="1"/>
  <c r="D429" i="35"/>
  <c r="C154" i="38" s="1"/>
  <c r="D430" i="35"/>
  <c r="C155" i="38" s="1"/>
  <c r="D431" i="35"/>
  <c r="C233" i="38" s="1"/>
  <c r="D432" i="35"/>
  <c r="C234" i="38" s="1"/>
  <c r="D433" i="35"/>
  <c r="C235" i="38" s="1"/>
  <c r="D434" i="35"/>
  <c r="C236" i="38" s="1"/>
  <c r="D435" i="35"/>
  <c r="C237" i="38" s="1"/>
  <c r="D436" i="35"/>
  <c r="C238" i="38" s="1"/>
  <c r="D437" i="35"/>
  <c r="C239" i="38" s="1"/>
  <c r="D438" i="35"/>
  <c r="C240" i="38" s="1"/>
  <c r="D439" i="35"/>
  <c r="C241" i="38" s="1"/>
  <c r="D440" i="35"/>
  <c r="C242" i="38" s="1"/>
  <c r="D441" i="35"/>
  <c r="C243" i="38" s="1"/>
  <c r="D442" i="35"/>
  <c r="C123" i="38" s="1"/>
  <c r="D443" i="35"/>
  <c r="C124" i="38" s="1"/>
  <c r="D444" i="35"/>
  <c r="C125" i="38" s="1"/>
  <c r="D445" i="35"/>
  <c r="C126" i="38" s="1"/>
  <c r="D446" i="35"/>
  <c r="C127" i="38" s="1"/>
  <c r="D447" i="35"/>
  <c r="C128" i="38" s="1"/>
  <c r="D448" i="35"/>
  <c r="C129" i="38" s="1"/>
  <c r="D449" i="35"/>
  <c r="C130" i="38" s="1"/>
  <c r="D450" i="35"/>
  <c r="C131" i="38" s="1"/>
  <c r="D451" i="35"/>
  <c r="C132" i="38" s="1"/>
  <c r="D452" i="35"/>
  <c r="C133" i="38" s="1"/>
  <c r="H133" i="38" s="1"/>
  <c r="D453" i="35"/>
  <c r="C222" i="38" s="1"/>
  <c r="D454" i="35"/>
  <c r="C223" i="38" s="1"/>
  <c r="D455" i="35"/>
  <c r="C224" i="38" s="1"/>
  <c r="D456" i="35"/>
  <c r="C225" i="38" s="1"/>
  <c r="D457" i="35"/>
  <c r="C226" i="38" s="1"/>
  <c r="D458" i="35"/>
  <c r="C227" i="38" s="1"/>
  <c r="D459" i="35"/>
  <c r="C228" i="38" s="1"/>
  <c r="D460" i="35"/>
  <c r="C229" i="38" s="1"/>
  <c r="D461" i="35"/>
  <c r="C230" i="38" s="1"/>
  <c r="D462" i="35"/>
  <c r="C231" i="38" s="1"/>
  <c r="D463" i="35"/>
  <c r="C232" i="38" s="1"/>
  <c r="D464" i="35"/>
  <c r="C354" i="38" s="1"/>
  <c r="D465" i="35"/>
  <c r="C355" i="38" s="1"/>
  <c r="D466" i="35"/>
  <c r="C356" i="38" s="1"/>
  <c r="D467" i="35"/>
  <c r="C357" i="38" s="1"/>
  <c r="D468" i="35"/>
  <c r="C358" i="38" s="1"/>
  <c r="D469" i="35"/>
  <c r="C359" i="38" s="1"/>
  <c r="D470" i="35"/>
  <c r="C360" i="38" s="1"/>
  <c r="D471" i="35"/>
  <c r="C361" i="38" s="1"/>
  <c r="D472" i="35"/>
  <c r="C362" i="38" s="1"/>
  <c r="D473" i="35"/>
  <c r="C363" i="38" s="1"/>
  <c r="D474" i="35"/>
  <c r="C364" i="38" s="1"/>
  <c r="D475" i="35"/>
  <c r="C211" i="38" s="1"/>
  <c r="D476" i="35"/>
  <c r="C212" i="38" s="1"/>
  <c r="D477" i="35"/>
  <c r="D478" i="35"/>
  <c r="C214" i="38" s="1"/>
  <c r="D479" i="35"/>
  <c r="C215" i="38" s="1"/>
  <c r="D480" i="35"/>
  <c r="C216" i="38" s="1"/>
  <c r="D481" i="35"/>
  <c r="C217" i="38" s="1"/>
  <c r="D482" i="35"/>
  <c r="C218" i="38" s="1"/>
  <c r="D483" i="35"/>
  <c r="C219" i="38" s="1"/>
  <c r="D484" i="35"/>
  <c r="C220" i="38" s="1"/>
  <c r="D485" i="35"/>
  <c r="C221" i="38" s="1"/>
  <c r="D486" i="35"/>
  <c r="C200" i="38" s="1"/>
  <c r="D487" i="35"/>
  <c r="C201" i="38" s="1"/>
  <c r="D488" i="35"/>
  <c r="C202" i="38" s="1"/>
  <c r="D489" i="35"/>
  <c r="C203" i="38" s="1"/>
  <c r="D490" i="35"/>
  <c r="C204" i="38" s="1"/>
  <c r="D491" i="35"/>
  <c r="C205" i="38" s="1"/>
  <c r="D492" i="35"/>
  <c r="C206" i="38" s="1"/>
  <c r="D493" i="35"/>
  <c r="C207" i="38" s="1"/>
  <c r="D494" i="35"/>
  <c r="C208" i="38" s="1"/>
  <c r="D495" i="35"/>
  <c r="C209" i="38" s="1"/>
  <c r="D496" i="35"/>
  <c r="C210" i="38" s="1"/>
  <c r="D497" i="35"/>
  <c r="C112" i="38" s="1"/>
  <c r="D498" i="35"/>
  <c r="C113" i="38" s="1"/>
  <c r="D499" i="35"/>
  <c r="D500" i="35"/>
  <c r="C115" i="38" s="1"/>
  <c r="D501" i="35"/>
  <c r="C116" i="38" s="1"/>
  <c r="D502" i="35"/>
  <c r="C117" i="38" s="1"/>
  <c r="D503" i="35"/>
  <c r="C118" i="38" s="1"/>
  <c r="D504" i="35"/>
  <c r="C119" i="38" s="1"/>
  <c r="D505" i="35"/>
  <c r="C120" i="38" s="1"/>
  <c r="D506" i="35"/>
  <c r="C121" i="38" s="1"/>
  <c r="D507" i="35"/>
  <c r="C122" i="38" s="1"/>
  <c r="D508" i="35"/>
  <c r="C277" i="38" s="1"/>
  <c r="D509" i="35"/>
  <c r="D510" i="35"/>
  <c r="C279" i="38" s="1"/>
  <c r="D511" i="35"/>
  <c r="C280" i="38" s="1"/>
  <c r="D512" i="35"/>
  <c r="C281" i="38" s="1"/>
  <c r="D513" i="35"/>
  <c r="C282" i="38" s="1"/>
  <c r="D514" i="35"/>
  <c r="C283" i="38" s="1"/>
  <c r="D515" i="35"/>
  <c r="C284" i="38" s="1"/>
  <c r="D516" i="35"/>
  <c r="C285" i="38" s="1"/>
  <c r="D517" i="35"/>
  <c r="C286" i="38" s="1"/>
  <c r="D518" i="35"/>
  <c r="C287" i="38" s="1"/>
  <c r="D519" i="35"/>
  <c r="C255" i="38" s="1"/>
  <c r="D520" i="35"/>
  <c r="C256" i="38" s="1"/>
  <c r="D521" i="35"/>
  <c r="D522" i="35"/>
  <c r="C258" i="38" s="1"/>
  <c r="D523" i="35"/>
  <c r="C259" i="38" s="1"/>
  <c r="D524" i="35"/>
  <c r="C260" i="38" s="1"/>
  <c r="D525" i="35"/>
  <c r="D526" i="35"/>
  <c r="C262" i="38" s="1"/>
  <c r="D527" i="35"/>
  <c r="C263" i="38" s="1"/>
  <c r="D528" i="35"/>
  <c r="C264" i="38" s="1"/>
  <c r="D529" i="35"/>
  <c r="D530" i="35"/>
  <c r="C464" i="38" s="1"/>
  <c r="D531" i="35"/>
  <c r="C465" i="38" s="1"/>
  <c r="D532" i="35"/>
  <c r="C466" i="38" s="1"/>
  <c r="D533" i="35"/>
  <c r="D534" i="35"/>
  <c r="C468" i="38" s="1"/>
  <c r="D535" i="35"/>
  <c r="C469" i="38" s="1"/>
  <c r="D536" i="35"/>
  <c r="C470" i="38" s="1"/>
  <c r="D537" i="35"/>
  <c r="C471" i="38" s="1"/>
  <c r="D538" i="35"/>
  <c r="C472" i="38" s="1"/>
  <c r="D539" i="35"/>
  <c r="C473" i="38" s="1"/>
  <c r="D540" i="35"/>
  <c r="C474" i="38" s="1"/>
  <c r="D563" i="35"/>
  <c r="C497" i="38" s="1"/>
  <c r="D564" i="35"/>
  <c r="C498" i="38" s="1"/>
  <c r="D565" i="35"/>
  <c r="C499" i="38" s="1"/>
  <c r="D566" i="35"/>
  <c r="C500" i="38" s="1"/>
  <c r="D567" i="35"/>
  <c r="D568" i="35"/>
  <c r="C502" i="38" s="1"/>
  <c r="D569" i="35"/>
  <c r="C503" i="38" s="1"/>
  <c r="D570" i="35"/>
  <c r="C504" i="38" s="1"/>
  <c r="D571" i="35"/>
  <c r="C505" i="38" s="1"/>
  <c r="D572" i="35"/>
  <c r="C506" i="38" s="1"/>
  <c r="D573" i="35"/>
  <c r="C507" i="38" s="1"/>
  <c r="D574" i="35"/>
  <c r="C453" i="38" s="1"/>
  <c r="D575" i="35"/>
  <c r="C454" i="38" s="1"/>
  <c r="D576" i="35"/>
  <c r="C455" i="38" s="1"/>
  <c r="D577" i="35"/>
  <c r="C456" i="38" s="1"/>
  <c r="D578" i="35"/>
  <c r="C457" i="38" s="1"/>
  <c r="D579" i="35"/>
  <c r="C458" i="38" s="1"/>
  <c r="D580" i="35"/>
  <c r="C459" i="38" s="1"/>
  <c r="D581" i="35"/>
  <c r="C460" i="38" s="1"/>
  <c r="D582" i="35"/>
  <c r="C461" i="38" s="1"/>
  <c r="D583" i="35"/>
  <c r="C462" i="38" s="1"/>
  <c r="D584" i="35"/>
  <c r="C463" i="38" s="1"/>
  <c r="D607" i="35"/>
  <c r="D608" i="35"/>
  <c r="D609" i="35"/>
  <c r="D610" i="35"/>
  <c r="D611" i="35"/>
  <c r="D612" i="35"/>
  <c r="D613" i="35"/>
  <c r="D614" i="35"/>
  <c r="D615" i="35"/>
  <c r="D616" i="35"/>
  <c r="D617" i="35"/>
  <c r="D2" i="35"/>
  <c r="C244" i="38" s="1"/>
  <c r="P1069" i="36"/>
  <c r="K1069" i="36"/>
  <c r="P1070" i="36"/>
  <c r="K1070" i="36"/>
  <c r="P1071" i="36"/>
  <c r="K1071" i="36"/>
  <c r="P1072" i="36"/>
  <c r="K1072" i="36"/>
  <c r="P1073" i="36"/>
  <c r="K1073" i="36"/>
  <c r="P1074" i="36"/>
  <c r="K1074" i="36"/>
  <c r="P1075" i="36"/>
  <c r="K1075" i="36"/>
  <c r="P1076" i="36"/>
  <c r="K1076" i="36"/>
  <c r="P1077" i="36"/>
  <c r="K1077" i="36"/>
  <c r="P1078" i="36"/>
  <c r="K1078" i="36"/>
  <c r="P1079" i="36"/>
  <c r="K1079" i="36"/>
  <c r="K608" i="35"/>
  <c r="M608" i="35"/>
  <c r="K609" i="35"/>
  <c r="M609" i="35"/>
  <c r="K610" i="35"/>
  <c r="M610" i="35"/>
  <c r="K611" i="35"/>
  <c r="M611" i="35"/>
  <c r="K612" i="35"/>
  <c r="M612" i="35"/>
  <c r="K613" i="35"/>
  <c r="M613" i="35"/>
  <c r="K614" i="35"/>
  <c r="M614" i="35"/>
  <c r="K615" i="35"/>
  <c r="M615" i="35"/>
  <c r="K616" i="35"/>
  <c r="M616" i="35"/>
  <c r="K617" i="35"/>
  <c r="M617" i="35"/>
  <c r="M607" i="35"/>
  <c r="K607" i="35"/>
  <c r="T25" i="22"/>
  <c r="U25" i="22"/>
  <c r="V25" i="22"/>
  <c r="P25" i="22"/>
  <c r="J25" i="22"/>
  <c r="J607" i="35" s="1"/>
  <c r="H3" i="22"/>
  <c r="L222" i="35" s="1"/>
  <c r="H4" i="22"/>
  <c r="L214" i="35" s="1"/>
  <c r="H5" i="22"/>
  <c r="L584" i="35" s="1"/>
  <c r="H6" i="22"/>
  <c r="L6" i="35" s="1"/>
  <c r="H7" i="22"/>
  <c r="L360" i="35" s="1"/>
  <c r="H8" i="22"/>
  <c r="L290" i="35" s="1"/>
  <c r="H9" i="22"/>
  <c r="L191" i="35" s="1"/>
  <c r="H10" i="22"/>
  <c r="L384" i="35" s="1"/>
  <c r="H11" i="22"/>
  <c r="L238" i="35" s="1"/>
  <c r="H50" i="22"/>
  <c r="L479" i="35" s="1"/>
  <c r="H52" i="22"/>
  <c r="L457" i="35" s="1"/>
  <c r="H13" i="22"/>
  <c r="L150" i="35" s="1"/>
  <c r="H14" i="22"/>
  <c r="L535" i="35" s="1"/>
  <c r="H16" i="22"/>
  <c r="L521" i="35" s="1"/>
  <c r="H17" i="22"/>
  <c r="L58" i="35" s="1"/>
  <c r="H18" i="22"/>
  <c r="L270" i="35" s="1"/>
  <c r="H41" i="22"/>
  <c r="L487" i="35" s="1"/>
  <c r="H42" i="22"/>
  <c r="L573" i="35" s="1"/>
  <c r="H19" i="22"/>
  <c r="L247" i="35" s="1"/>
  <c r="H20" i="22"/>
  <c r="L258" i="35" s="1"/>
  <c r="H21" i="22"/>
  <c r="L47" i="35" s="1"/>
  <c r="H22" i="22"/>
  <c r="L410" i="35" s="1"/>
  <c r="H23" i="22"/>
  <c r="L209" i="35" s="1"/>
  <c r="H24" i="22"/>
  <c r="L91" i="35" s="1"/>
  <c r="H25" i="22"/>
  <c r="L612" i="35" s="1"/>
  <c r="H43" i="22"/>
  <c r="L470" i="35" s="1"/>
  <c r="H44" i="22"/>
  <c r="L436" i="35" s="1"/>
  <c r="H26" i="22"/>
  <c r="L163" i="35" s="1"/>
  <c r="H27" i="22"/>
  <c r="L392" i="35" s="1"/>
  <c r="H28" i="22"/>
  <c r="L182" i="35" s="1"/>
  <c r="H29" i="22"/>
  <c r="L511" i="35" s="1"/>
  <c r="H31" i="22"/>
  <c r="L286" i="35" s="1"/>
  <c r="H32" i="22"/>
  <c r="L400" i="35" s="1"/>
  <c r="H45" i="22"/>
  <c r="L452" i="35" s="1"/>
  <c r="H46" i="22"/>
  <c r="L497" i="35" s="1"/>
  <c r="L674" i="35" s="1"/>
  <c r="H47" i="22"/>
  <c r="L428" i="35" s="1"/>
  <c r="H33" i="22"/>
  <c r="L143" i="35" s="1"/>
  <c r="H34" i="22"/>
  <c r="L27" i="35" s="1"/>
  <c r="H35" i="22"/>
  <c r="L22" i="35" s="1"/>
  <c r="H36" i="22"/>
  <c r="L171" i="35" s="1"/>
  <c r="H37" i="22"/>
  <c r="L108" i="35" s="1"/>
  <c r="H38" i="22"/>
  <c r="L114" i="35" s="1"/>
  <c r="H39" i="22"/>
  <c r="L130" i="35" s="1"/>
  <c r="H49" i="22"/>
  <c r="L618" i="35" s="1"/>
  <c r="H40" i="22"/>
  <c r="L302" i="35" s="1"/>
  <c r="H53" i="22"/>
  <c r="L74" i="35" s="1"/>
  <c r="H59" i="22"/>
  <c r="H54" i="22"/>
  <c r="H60" i="22"/>
  <c r="H61" i="22"/>
  <c r="H55" i="22"/>
  <c r="H58" i="22"/>
  <c r="H62" i="22"/>
  <c r="H63" i="22"/>
  <c r="H64" i="22"/>
  <c r="H2" i="22"/>
  <c r="L35" i="35" s="1"/>
  <c r="F12" i="22"/>
  <c r="G12" i="22"/>
  <c r="F15" i="22"/>
  <c r="G15" i="22"/>
  <c r="F17" i="22"/>
  <c r="F22" i="22"/>
  <c r="F25" i="22"/>
  <c r="F31" i="22"/>
  <c r="G31" i="22"/>
  <c r="F32" i="22"/>
  <c r="G32" i="22"/>
  <c r="F48" i="22"/>
  <c r="G48" i="22"/>
  <c r="F38" i="22"/>
  <c r="F49" i="22"/>
  <c r="G49" i="22"/>
  <c r="F59" i="22"/>
  <c r="G59" i="22"/>
  <c r="F60" i="22"/>
  <c r="G60" i="22"/>
  <c r="F61" i="22"/>
  <c r="G61" i="22"/>
  <c r="F62" i="22"/>
  <c r="G62" i="22"/>
  <c r="F63" i="22"/>
  <c r="G63" i="22"/>
  <c r="F64" i="22"/>
  <c r="G64" i="22"/>
  <c r="H21" i="21"/>
  <c r="I21" i="21"/>
  <c r="G25" i="22" s="1"/>
  <c r="K453" i="36"/>
  <c r="K454" i="36"/>
  <c r="K455" i="36"/>
  <c r="K456" i="36"/>
  <c r="K457" i="36"/>
  <c r="K458" i="36"/>
  <c r="K459" i="36"/>
  <c r="K460" i="36"/>
  <c r="K461" i="36"/>
  <c r="K462" i="36"/>
  <c r="K463" i="36"/>
  <c r="P1047" i="36"/>
  <c r="P1048" i="36"/>
  <c r="P1049" i="36"/>
  <c r="P1050" i="36"/>
  <c r="P1051" i="36"/>
  <c r="P1052" i="36"/>
  <c r="P1053" i="36"/>
  <c r="P1054" i="36"/>
  <c r="P1055" i="36"/>
  <c r="P1056" i="36"/>
  <c r="P1057" i="36"/>
  <c r="K1058" i="36"/>
  <c r="K1059" i="36"/>
  <c r="K1060" i="36"/>
  <c r="K1061" i="36"/>
  <c r="K1062" i="36"/>
  <c r="K1063" i="36"/>
  <c r="K1064" i="36"/>
  <c r="K1065" i="36"/>
  <c r="K1066" i="36"/>
  <c r="K1067" i="36"/>
  <c r="K1068" i="36"/>
  <c r="I1058" i="36"/>
  <c r="I1059" i="36"/>
  <c r="I1060" i="36"/>
  <c r="I1061" i="36"/>
  <c r="I1062" i="36"/>
  <c r="I1063" i="36"/>
  <c r="I1064" i="36"/>
  <c r="I1065" i="36"/>
  <c r="I1066" i="36"/>
  <c r="I1067" i="36"/>
  <c r="I1068" i="36"/>
  <c r="P1058" i="36"/>
  <c r="P1059" i="36"/>
  <c r="P1060" i="36"/>
  <c r="P1061" i="36"/>
  <c r="P1062" i="36"/>
  <c r="P1063" i="36"/>
  <c r="P1064" i="36"/>
  <c r="P1065" i="36"/>
  <c r="P1066" i="36"/>
  <c r="P1067" i="36"/>
  <c r="P1068" i="36"/>
  <c r="K376" i="36"/>
  <c r="K377" i="36"/>
  <c r="K378" i="36"/>
  <c r="K379" i="36"/>
  <c r="K380" i="36"/>
  <c r="K381" i="36"/>
  <c r="K382" i="36"/>
  <c r="K383" i="36"/>
  <c r="K384" i="36"/>
  <c r="K385" i="36"/>
  <c r="K386" i="36"/>
  <c r="AF59" i="22"/>
  <c r="AF60" i="22"/>
  <c r="AF61" i="22"/>
  <c r="AF62" i="22"/>
  <c r="AF63" i="22"/>
  <c r="AF64" i="22"/>
  <c r="B21" i="39"/>
  <c r="F20" i="39"/>
  <c r="AF38" i="22" s="1"/>
  <c r="E20" i="39"/>
  <c r="AF8" i="22" s="1"/>
  <c r="D20" i="39"/>
  <c r="AF4" i="22" s="1"/>
  <c r="C20" i="39"/>
  <c r="B20" i="39"/>
  <c r="AF55" i="22" s="1"/>
  <c r="F57" i="21"/>
  <c r="E7" i="38"/>
  <c r="E8" i="38"/>
  <c r="H9" i="38"/>
  <c r="H11" i="38"/>
  <c r="E12" i="38"/>
  <c r="H13" i="38"/>
  <c r="H17" i="38"/>
  <c r="E19" i="38"/>
  <c r="E20" i="38"/>
  <c r="E21" i="38"/>
  <c r="H149" i="38"/>
  <c r="E361" i="38"/>
  <c r="H424" i="38"/>
  <c r="E2" i="38"/>
  <c r="M5" i="39"/>
  <c r="H6" i="39"/>
  <c r="H7" i="39"/>
  <c r="H8" i="39"/>
  <c r="H9" i="39"/>
  <c r="H10" i="39"/>
  <c r="H11" i="39"/>
  <c r="H12" i="39"/>
  <c r="H13" i="39"/>
  <c r="H14" i="39"/>
  <c r="H15" i="39"/>
  <c r="H5" i="39"/>
  <c r="H22" i="38"/>
  <c r="H6" i="38"/>
  <c r="H35" i="38"/>
  <c r="H16" i="38"/>
  <c r="H8" i="38"/>
  <c r="E22" i="38"/>
  <c r="E17" i="38"/>
  <c r="E9" i="38"/>
  <c r="E5" i="38"/>
  <c r="H5" i="38"/>
  <c r="E3" i="38"/>
  <c r="K3" i="35"/>
  <c r="K4" i="35"/>
  <c r="K5" i="35"/>
  <c r="K6" i="35"/>
  <c r="K7" i="35"/>
  <c r="K8" i="35"/>
  <c r="K9" i="35"/>
  <c r="K10" i="35"/>
  <c r="K11" i="35"/>
  <c r="K12" i="35"/>
  <c r="K13" i="35"/>
  <c r="K14" i="35"/>
  <c r="K15" i="35"/>
  <c r="K16" i="35"/>
  <c r="K17" i="35"/>
  <c r="K18" i="35"/>
  <c r="K19" i="35"/>
  <c r="K20" i="35"/>
  <c r="K21" i="35"/>
  <c r="K22" i="35"/>
  <c r="K23" i="35"/>
  <c r="K24" i="35"/>
  <c r="K25" i="35"/>
  <c r="K26" i="35"/>
  <c r="K27" i="35"/>
  <c r="K28" i="35"/>
  <c r="K29" i="35"/>
  <c r="K30" i="35"/>
  <c r="K31" i="35"/>
  <c r="K32" i="35"/>
  <c r="K33" i="35"/>
  <c r="K34" i="35"/>
  <c r="K35" i="35"/>
  <c r="K36" i="35"/>
  <c r="K37" i="35"/>
  <c r="K38" i="35"/>
  <c r="K39" i="35"/>
  <c r="K40" i="35"/>
  <c r="K41" i="35"/>
  <c r="K42" i="35"/>
  <c r="K43" i="35"/>
  <c r="K44" i="35"/>
  <c r="K45" i="35"/>
  <c r="K46" i="35"/>
  <c r="K47" i="35"/>
  <c r="K48" i="35"/>
  <c r="K49" i="35"/>
  <c r="K50" i="35"/>
  <c r="K51" i="35"/>
  <c r="K52" i="35"/>
  <c r="K53" i="35"/>
  <c r="K54" i="35"/>
  <c r="K55" i="35"/>
  <c r="K56" i="35"/>
  <c r="K57" i="35"/>
  <c r="K58" i="35"/>
  <c r="K59" i="35"/>
  <c r="K60" i="35"/>
  <c r="K61" i="35"/>
  <c r="K62" i="35"/>
  <c r="K63" i="35"/>
  <c r="K64" i="35"/>
  <c r="K65" i="35"/>
  <c r="K66" i="35"/>
  <c r="K67" i="35"/>
  <c r="K68" i="35"/>
  <c r="K69" i="35"/>
  <c r="K70" i="35"/>
  <c r="K71" i="35"/>
  <c r="K72" i="35"/>
  <c r="K73" i="35"/>
  <c r="K74" i="35"/>
  <c r="K75" i="35"/>
  <c r="K76" i="35"/>
  <c r="K77" i="35"/>
  <c r="K78" i="35"/>
  <c r="K79" i="35"/>
  <c r="K80" i="35"/>
  <c r="K81" i="35"/>
  <c r="K82" i="35"/>
  <c r="K83" i="35"/>
  <c r="K84" i="35"/>
  <c r="K85" i="35"/>
  <c r="K86" i="35"/>
  <c r="K87" i="35"/>
  <c r="K88" i="35"/>
  <c r="K89" i="35"/>
  <c r="K90" i="35"/>
  <c r="K91" i="35"/>
  <c r="K92" i="35"/>
  <c r="K93" i="35"/>
  <c r="K94" i="35"/>
  <c r="K95" i="35"/>
  <c r="K96" i="35"/>
  <c r="K97" i="35"/>
  <c r="K98" i="35"/>
  <c r="K99" i="35"/>
  <c r="K100" i="35"/>
  <c r="K101" i="35"/>
  <c r="K102" i="35"/>
  <c r="K103" i="35"/>
  <c r="K104" i="35"/>
  <c r="K105" i="35"/>
  <c r="K106" i="35"/>
  <c r="K107" i="35"/>
  <c r="K108" i="35"/>
  <c r="K109" i="35"/>
  <c r="K110" i="35"/>
  <c r="K111" i="35"/>
  <c r="K112" i="35"/>
  <c r="K113" i="35"/>
  <c r="K114" i="35"/>
  <c r="K115" i="35"/>
  <c r="K116" i="35"/>
  <c r="K117" i="35"/>
  <c r="K118" i="35"/>
  <c r="K119" i="35"/>
  <c r="K120" i="35"/>
  <c r="K121" i="35"/>
  <c r="K122" i="35"/>
  <c r="K123" i="35"/>
  <c r="K124" i="35"/>
  <c r="K125" i="35"/>
  <c r="K126" i="35"/>
  <c r="K127" i="35"/>
  <c r="K128" i="35"/>
  <c r="K129" i="35"/>
  <c r="K130" i="35"/>
  <c r="K131" i="35"/>
  <c r="K132" i="35"/>
  <c r="K133" i="35"/>
  <c r="K134" i="35"/>
  <c r="K135" i="35"/>
  <c r="K136" i="35"/>
  <c r="K137" i="35"/>
  <c r="K138" i="35"/>
  <c r="K139" i="35"/>
  <c r="K140" i="35"/>
  <c r="K141" i="35"/>
  <c r="K142" i="35"/>
  <c r="K143" i="35"/>
  <c r="K144" i="35"/>
  <c r="K145" i="35"/>
  <c r="K146" i="35"/>
  <c r="K147" i="35"/>
  <c r="K148" i="35"/>
  <c r="K149" i="35"/>
  <c r="K150" i="35"/>
  <c r="K151" i="35"/>
  <c r="K152" i="35"/>
  <c r="K153" i="35"/>
  <c r="K154" i="35"/>
  <c r="K155" i="35"/>
  <c r="K156" i="35"/>
  <c r="K157" i="35"/>
  <c r="K158" i="35"/>
  <c r="K159" i="35"/>
  <c r="K160" i="35"/>
  <c r="K161" i="35"/>
  <c r="K162" i="35"/>
  <c r="K163" i="35"/>
  <c r="K164" i="35"/>
  <c r="K165" i="35"/>
  <c r="K166" i="35"/>
  <c r="K167" i="35"/>
  <c r="K168" i="35"/>
  <c r="K169" i="35"/>
  <c r="K170" i="35"/>
  <c r="K171" i="35"/>
  <c r="K172" i="35"/>
  <c r="K173" i="35"/>
  <c r="K174" i="35"/>
  <c r="K175" i="35"/>
  <c r="K176" i="35"/>
  <c r="K177" i="35"/>
  <c r="K178" i="35"/>
  <c r="K179" i="35"/>
  <c r="K180" i="35"/>
  <c r="K181" i="35"/>
  <c r="K182" i="35"/>
  <c r="K183" i="35"/>
  <c r="K184" i="35"/>
  <c r="K185" i="35"/>
  <c r="K186" i="35"/>
  <c r="K187" i="35"/>
  <c r="K188" i="35"/>
  <c r="K189" i="35"/>
  <c r="K190" i="35"/>
  <c r="K191" i="35"/>
  <c r="K192" i="35"/>
  <c r="K193" i="35"/>
  <c r="K194" i="35"/>
  <c r="K195" i="35"/>
  <c r="K196" i="35"/>
  <c r="K197" i="35"/>
  <c r="K198" i="35"/>
  <c r="K199" i="35"/>
  <c r="K200" i="35"/>
  <c r="K201" i="35"/>
  <c r="K202" i="35"/>
  <c r="K203" i="35"/>
  <c r="K204" i="35"/>
  <c r="K205" i="35"/>
  <c r="K206" i="35"/>
  <c r="K207" i="35"/>
  <c r="K208" i="35"/>
  <c r="K209" i="35"/>
  <c r="K210" i="35"/>
  <c r="K211" i="35"/>
  <c r="K212" i="35"/>
  <c r="K213" i="35"/>
  <c r="K214" i="35"/>
  <c r="K215" i="35"/>
  <c r="K216" i="35"/>
  <c r="K217" i="35"/>
  <c r="K218" i="35"/>
  <c r="K219" i="35"/>
  <c r="K220" i="35"/>
  <c r="K221" i="35"/>
  <c r="K222" i="35"/>
  <c r="K223" i="35"/>
  <c r="K224" i="35"/>
  <c r="K225" i="35"/>
  <c r="K226" i="35"/>
  <c r="K227" i="35"/>
  <c r="K228" i="35"/>
  <c r="K229" i="35"/>
  <c r="K230" i="35"/>
  <c r="K231" i="35"/>
  <c r="K232" i="35"/>
  <c r="K233" i="35"/>
  <c r="K234" i="35"/>
  <c r="K235" i="35"/>
  <c r="K236" i="35"/>
  <c r="K237" i="35"/>
  <c r="K238" i="35"/>
  <c r="K239" i="35"/>
  <c r="K240" i="35"/>
  <c r="K241" i="35"/>
  <c r="K242" i="35"/>
  <c r="K243" i="35"/>
  <c r="K244" i="35"/>
  <c r="K245" i="35"/>
  <c r="K246" i="35"/>
  <c r="K247" i="35"/>
  <c r="K248" i="35"/>
  <c r="K249" i="35"/>
  <c r="K250" i="35"/>
  <c r="K251" i="35"/>
  <c r="K252" i="35"/>
  <c r="K253" i="35"/>
  <c r="K254" i="35"/>
  <c r="K255" i="35"/>
  <c r="K256" i="35"/>
  <c r="K257" i="35"/>
  <c r="K258" i="35"/>
  <c r="K259" i="35"/>
  <c r="K260" i="35"/>
  <c r="K261" i="35"/>
  <c r="K262" i="35"/>
  <c r="K263" i="35"/>
  <c r="K264" i="35"/>
  <c r="K265" i="35"/>
  <c r="K266" i="35"/>
  <c r="K267" i="35"/>
  <c r="K268" i="35"/>
  <c r="K269" i="35"/>
  <c r="K270" i="35"/>
  <c r="K271" i="35"/>
  <c r="K272" i="35"/>
  <c r="K273" i="35"/>
  <c r="K274" i="35"/>
  <c r="K275" i="35"/>
  <c r="K276" i="35"/>
  <c r="K277" i="35"/>
  <c r="K278" i="35"/>
  <c r="K279" i="35"/>
  <c r="K280" i="35"/>
  <c r="K281" i="35"/>
  <c r="K282" i="35"/>
  <c r="K283" i="35"/>
  <c r="K284" i="35"/>
  <c r="K285" i="35"/>
  <c r="K286" i="35"/>
  <c r="K287" i="35"/>
  <c r="K288" i="35"/>
  <c r="K289" i="35"/>
  <c r="K290" i="35"/>
  <c r="K291" i="35"/>
  <c r="K292" i="35"/>
  <c r="K293" i="35"/>
  <c r="K294" i="35"/>
  <c r="K295" i="35"/>
  <c r="K296" i="35"/>
  <c r="K297" i="35"/>
  <c r="K298" i="35"/>
  <c r="K299" i="35"/>
  <c r="K300" i="35"/>
  <c r="K301" i="35"/>
  <c r="K302" i="35"/>
  <c r="K303" i="35"/>
  <c r="K304" i="35"/>
  <c r="K305" i="35"/>
  <c r="K306" i="35"/>
  <c r="K307" i="35"/>
  <c r="K308" i="35"/>
  <c r="K309" i="35"/>
  <c r="K310" i="35"/>
  <c r="K311" i="35"/>
  <c r="K312" i="35"/>
  <c r="K313" i="35"/>
  <c r="K314" i="35"/>
  <c r="K315" i="35"/>
  <c r="K316" i="35"/>
  <c r="K317" i="35"/>
  <c r="K318" i="35"/>
  <c r="K319" i="35"/>
  <c r="K320" i="35"/>
  <c r="K321" i="35"/>
  <c r="K322" i="35"/>
  <c r="K323" i="35"/>
  <c r="K324" i="35"/>
  <c r="K325" i="35"/>
  <c r="K326" i="35"/>
  <c r="K327" i="35"/>
  <c r="K328" i="35"/>
  <c r="K329" i="35"/>
  <c r="K330" i="35"/>
  <c r="K331" i="35"/>
  <c r="K332" i="35"/>
  <c r="K333" i="35"/>
  <c r="K334" i="35"/>
  <c r="K335" i="35"/>
  <c r="K336" i="35"/>
  <c r="K337" i="35"/>
  <c r="K338" i="35"/>
  <c r="K339" i="35"/>
  <c r="K340" i="35"/>
  <c r="K341" i="35"/>
  <c r="K342" i="35"/>
  <c r="K343" i="35"/>
  <c r="K344" i="35"/>
  <c r="K345" i="35"/>
  <c r="K346" i="35"/>
  <c r="K347" i="35"/>
  <c r="K348" i="35"/>
  <c r="K349" i="35"/>
  <c r="K350" i="35"/>
  <c r="K351" i="35"/>
  <c r="K352" i="35"/>
  <c r="K353" i="35"/>
  <c r="K354" i="35"/>
  <c r="K355" i="35"/>
  <c r="K356" i="35"/>
  <c r="K357" i="35"/>
  <c r="K358" i="35"/>
  <c r="K359" i="35"/>
  <c r="K360" i="35"/>
  <c r="K361" i="35"/>
  <c r="K362" i="35"/>
  <c r="K363" i="35"/>
  <c r="K364" i="35"/>
  <c r="K365" i="35"/>
  <c r="K366" i="35"/>
  <c r="K367" i="35"/>
  <c r="K368" i="35"/>
  <c r="K369" i="35"/>
  <c r="K370" i="35"/>
  <c r="K371" i="35"/>
  <c r="K372" i="35"/>
  <c r="K373" i="35"/>
  <c r="K374" i="35"/>
  <c r="K375" i="35"/>
  <c r="K376" i="35"/>
  <c r="K377" i="35"/>
  <c r="K378" i="35"/>
  <c r="K379" i="35"/>
  <c r="K380" i="35"/>
  <c r="K381" i="35"/>
  <c r="K382" i="35"/>
  <c r="K383" i="35"/>
  <c r="K384" i="35"/>
  <c r="K385" i="35"/>
  <c r="K386" i="35"/>
  <c r="K387" i="35"/>
  <c r="K388" i="35"/>
  <c r="K389" i="35"/>
  <c r="K390" i="35"/>
  <c r="K391" i="35"/>
  <c r="K392" i="35"/>
  <c r="K393" i="35"/>
  <c r="K394" i="35"/>
  <c r="K395" i="35"/>
  <c r="K396" i="35"/>
  <c r="K397" i="35"/>
  <c r="K398" i="35"/>
  <c r="K399" i="35"/>
  <c r="K400" i="35"/>
  <c r="K401" i="35"/>
  <c r="K402" i="35"/>
  <c r="K403" i="35"/>
  <c r="K404" i="35"/>
  <c r="K405" i="35"/>
  <c r="K406" i="35"/>
  <c r="K407" i="35"/>
  <c r="K408" i="35"/>
  <c r="K409" i="35"/>
  <c r="K410" i="35"/>
  <c r="K411" i="35"/>
  <c r="K412" i="35"/>
  <c r="K413" i="35"/>
  <c r="K414" i="35"/>
  <c r="K415" i="35"/>
  <c r="K416" i="35"/>
  <c r="K417" i="35"/>
  <c r="K418" i="35"/>
  <c r="K419" i="35"/>
  <c r="K420" i="35"/>
  <c r="K421" i="35"/>
  <c r="K422" i="35"/>
  <c r="K423" i="35"/>
  <c r="K424" i="35"/>
  <c r="K425" i="35"/>
  <c r="K426" i="35"/>
  <c r="K427" i="35"/>
  <c r="K428" i="35"/>
  <c r="K429" i="35"/>
  <c r="K430" i="35"/>
  <c r="K431" i="35"/>
  <c r="K432" i="35"/>
  <c r="K433" i="35"/>
  <c r="K434" i="35"/>
  <c r="K435" i="35"/>
  <c r="K436" i="35"/>
  <c r="K437" i="35"/>
  <c r="K438" i="35"/>
  <c r="K439" i="35"/>
  <c r="K440" i="35"/>
  <c r="K441" i="35"/>
  <c r="K442" i="35"/>
  <c r="K443" i="35"/>
  <c r="K444" i="35"/>
  <c r="K445" i="35"/>
  <c r="K446" i="35"/>
  <c r="K447" i="35"/>
  <c r="K448" i="35"/>
  <c r="K449" i="35"/>
  <c r="K450" i="35"/>
  <c r="K451" i="35"/>
  <c r="K452" i="35"/>
  <c r="K453" i="35"/>
  <c r="K454" i="35"/>
  <c r="K455" i="35"/>
  <c r="K456" i="35"/>
  <c r="K457" i="35"/>
  <c r="K458" i="35"/>
  <c r="K459" i="35"/>
  <c r="K460" i="35"/>
  <c r="K461" i="35"/>
  <c r="K462" i="35"/>
  <c r="K463" i="35"/>
  <c r="K464" i="35"/>
  <c r="K465" i="35"/>
  <c r="K466" i="35"/>
  <c r="K467" i="35"/>
  <c r="K468" i="35"/>
  <c r="K469" i="35"/>
  <c r="K470" i="35"/>
  <c r="K471" i="35"/>
  <c r="K472" i="35"/>
  <c r="K473" i="35"/>
  <c r="K474" i="35"/>
  <c r="K475" i="35"/>
  <c r="K476" i="35"/>
  <c r="K477" i="35"/>
  <c r="K478" i="35"/>
  <c r="K479" i="35"/>
  <c r="K480" i="35"/>
  <c r="K481" i="35"/>
  <c r="K482" i="35"/>
  <c r="K483" i="35"/>
  <c r="K484" i="35"/>
  <c r="K485" i="35"/>
  <c r="K486" i="35"/>
  <c r="K487" i="35"/>
  <c r="K488" i="35"/>
  <c r="K489" i="35"/>
  <c r="K490" i="35"/>
  <c r="K491" i="35"/>
  <c r="K492" i="35"/>
  <c r="K493" i="35"/>
  <c r="K494" i="35"/>
  <c r="K495" i="35"/>
  <c r="K496" i="35"/>
  <c r="K497" i="35"/>
  <c r="K498" i="35"/>
  <c r="K499" i="35"/>
  <c r="K500" i="35"/>
  <c r="K501" i="35"/>
  <c r="K502" i="35"/>
  <c r="K503" i="35"/>
  <c r="K504" i="35"/>
  <c r="K505" i="35"/>
  <c r="K506" i="35"/>
  <c r="K507" i="35"/>
  <c r="K508" i="35"/>
  <c r="K509" i="35"/>
  <c r="K510" i="35"/>
  <c r="K511" i="35"/>
  <c r="K512" i="35"/>
  <c r="K513" i="35"/>
  <c r="K514" i="35"/>
  <c r="K515" i="35"/>
  <c r="K516" i="35"/>
  <c r="K517" i="35"/>
  <c r="K518" i="35"/>
  <c r="K519" i="35"/>
  <c r="K520" i="35"/>
  <c r="K521" i="35"/>
  <c r="K522" i="35"/>
  <c r="K523" i="35"/>
  <c r="K524" i="35"/>
  <c r="K525" i="35"/>
  <c r="K526" i="35"/>
  <c r="K527" i="35"/>
  <c r="K528" i="35"/>
  <c r="K529" i="35"/>
  <c r="K530" i="35"/>
  <c r="K531" i="35"/>
  <c r="K532" i="35"/>
  <c r="K533" i="35"/>
  <c r="K534" i="35"/>
  <c r="K535" i="35"/>
  <c r="K536" i="35"/>
  <c r="K537" i="35"/>
  <c r="K538" i="35"/>
  <c r="K539" i="35"/>
  <c r="K540" i="35"/>
  <c r="K563" i="35"/>
  <c r="K564" i="35"/>
  <c r="K573" i="35"/>
  <c r="K565" i="35"/>
  <c r="K566" i="35"/>
  <c r="K567" i="35"/>
  <c r="K568" i="35"/>
  <c r="K569" i="35"/>
  <c r="K570" i="35"/>
  <c r="K571" i="35"/>
  <c r="K572" i="35"/>
  <c r="K574" i="35"/>
  <c r="K575" i="35"/>
  <c r="K584" i="35"/>
  <c r="K576" i="35"/>
  <c r="K577" i="35"/>
  <c r="K578" i="35"/>
  <c r="K579" i="35"/>
  <c r="K580" i="35"/>
  <c r="K581" i="35"/>
  <c r="K582" i="35"/>
  <c r="K583" i="35"/>
  <c r="K2" i="35"/>
  <c r="M3" i="35"/>
  <c r="M4" i="35"/>
  <c r="M5" i="35"/>
  <c r="M6" i="35"/>
  <c r="M7" i="35"/>
  <c r="M8" i="35"/>
  <c r="M9" i="35"/>
  <c r="M10" i="35"/>
  <c r="M11" i="35"/>
  <c r="M12" i="35"/>
  <c r="M13" i="35"/>
  <c r="M14" i="35"/>
  <c r="M15" i="35"/>
  <c r="M16" i="35"/>
  <c r="M17" i="35"/>
  <c r="M18" i="35"/>
  <c r="M19" i="35"/>
  <c r="M20" i="35"/>
  <c r="M21" i="35"/>
  <c r="M22" i="35"/>
  <c r="M23" i="35"/>
  <c r="M24" i="35"/>
  <c r="M25" i="35"/>
  <c r="M26" i="35"/>
  <c r="M27" i="35"/>
  <c r="M28" i="35"/>
  <c r="M29" i="35"/>
  <c r="M30" i="35"/>
  <c r="M31" i="35"/>
  <c r="M32" i="35"/>
  <c r="M33" i="35"/>
  <c r="M34" i="35"/>
  <c r="M35" i="35"/>
  <c r="M36" i="35"/>
  <c r="M37" i="35"/>
  <c r="M38" i="35"/>
  <c r="M39" i="35"/>
  <c r="M40" i="35"/>
  <c r="M41" i="35"/>
  <c r="M42" i="35"/>
  <c r="M43" i="35"/>
  <c r="M44" i="35"/>
  <c r="M45" i="35"/>
  <c r="M46" i="35"/>
  <c r="M47" i="35"/>
  <c r="M48" i="35"/>
  <c r="M49" i="35"/>
  <c r="M50" i="35"/>
  <c r="M51" i="35"/>
  <c r="M52" i="35"/>
  <c r="M53" i="35"/>
  <c r="M54" i="35"/>
  <c r="M55" i="35"/>
  <c r="M56" i="35"/>
  <c r="M57" i="35"/>
  <c r="M58" i="35"/>
  <c r="M59" i="35"/>
  <c r="M60" i="35"/>
  <c r="M61" i="35"/>
  <c r="M62" i="35"/>
  <c r="M63" i="35"/>
  <c r="M64" i="35"/>
  <c r="M65" i="35"/>
  <c r="M66" i="35"/>
  <c r="M67" i="35"/>
  <c r="M68" i="35"/>
  <c r="M69" i="35"/>
  <c r="M70" i="35"/>
  <c r="M71" i="35"/>
  <c r="M72" i="35"/>
  <c r="M73" i="35"/>
  <c r="M74" i="35"/>
  <c r="M75" i="35"/>
  <c r="M76" i="35"/>
  <c r="M77" i="35"/>
  <c r="M78" i="35"/>
  <c r="M79" i="35"/>
  <c r="M80" i="35"/>
  <c r="M81" i="35"/>
  <c r="M82" i="35"/>
  <c r="M83" i="35"/>
  <c r="M84" i="35"/>
  <c r="M85" i="35"/>
  <c r="M86" i="35"/>
  <c r="M87" i="35"/>
  <c r="M88" i="35"/>
  <c r="M89" i="35"/>
  <c r="M90" i="35"/>
  <c r="M91" i="35"/>
  <c r="M92" i="35"/>
  <c r="M93" i="35"/>
  <c r="M94" i="35"/>
  <c r="M95" i="35"/>
  <c r="M96" i="35"/>
  <c r="M97" i="35"/>
  <c r="M98" i="35"/>
  <c r="M99" i="35"/>
  <c r="M100" i="35"/>
  <c r="M101" i="35"/>
  <c r="M102" i="35"/>
  <c r="M103" i="35"/>
  <c r="M104" i="35"/>
  <c r="M105" i="35"/>
  <c r="M106" i="35"/>
  <c r="M107" i="35"/>
  <c r="M108" i="35"/>
  <c r="M109" i="35"/>
  <c r="M110" i="35"/>
  <c r="M111" i="35"/>
  <c r="M112" i="35"/>
  <c r="M113" i="35"/>
  <c r="M114" i="35"/>
  <c r="M115" i="35"/>
  <c r="M116" i="35"/>
  <c r="M117" i="35"/>
  <c r="M118" i="35"/>
  <c r="M119" i="35"/>
  <c r="M120" i="35"/>
  <c r="M121" i="35"/>
  <c r="M122" i="35"/>
  <c r="M123" i="35"/>
  <c r="M124" i="35"/>
  <c r="M125" i="35"/>
  <c r="M126" i="35"/>
  <c r="M127" i="35"/>
  <c r="M128" i="35"/>
  <c r="M129" i="35"/>
  <c r="M130" i="35"/>
  <c r="M131" i="35"/>
  <c r="M132" i="35"/>
  <c r="M133" i="35"/>
  <c r="M134" i="35"/>
  <c r="M135" i="35"/>
  <c r="M136" i="35"/>
  <c r="M137" i="35"/>
  <c r="M138" i="35"/>
  <c r="M139" i="35"/>
  <c r="M140" i="35"/>
  <c r="M141" i="35"/>
  <c r="M142" i="35"/>
  <c r="M143" i="35"/>
  <c r="M144" i="35"/>
  <c r="M145" i="35"/>
  <c r="M146" i="35"/>
  <c r="M147" i="35"/>
  <c r="M148" i="35"/>
  <c r="M149" i="35"/>
  <c r="M150" i="35"/>
  <c r="M151" i="35"/>
  <c r="M152" i="35"/>
  <c r="M153" i="35"/>
  <c r="M154" i="35"/>
  <c r="M155" i="35"/>
  <c r="M156" i="35"/>
  <c r="M157" i="35"/>
  <c r="M158" i="35"/>
  <c r="M159" i="35"/>
  <c r="M160" i="35"/>
  <c r="M161" i="35"/>
  <c r="M162" i="35"/>
  <c r="M163" i="35"/>
  <c r="M164" i="35"/>
  <c r="M165" i="35"/>
  <c r="M166" i="35"/>
  <c r="M167" i="35"/>
  <c r="M168" i="35"/>
  <c r="M169" i="35"/>
  <c r="M170" i="35"/>
  <c r="M171" i="35"/>
  <c r="M172" i="35"/>
  <c r="M173" i="35"/>
  <c r="M174" i="35"/>
  <c r="M175" i="35"/>
  <c r="M176" i="35"/>
  <c r="M177" i="35"/>
  <c r="M178" i="35"/>
  <c r="M179" i="35"/>
  <c r="M180" i="35"/>
  <c r="M181" i="35"/>
  <c r="M182" i="35"/>
  <c r="M183" i="35"/>
  <c r="M184" i="35"/>
  <c r="M185" i="35"/>
  <c r="M186" i="35"/>
  <c r="M187" i="35"/>
  <c r="M188" i="35"/>
  <c r="M189" i="35"/>
  <c r="M190" i="35"/>
  <c r="M191" i="35"/>
  <c r="M192" i="35"/>
  <c r="M193" i="35"/>
  <c r="M194" i="35"/>
  <c r="M195" i="35"/>
  <c r="M196" i="35"/>
  <c r="M197" i="35"/>
  <c r="M198" i="35"/>
  <c r="M199" i="35"/>
  <c r="M200" i="35"/>
  <c r="M201" i="35"/>
  <c r="M202" i="35"/>
  <c r="M203" i="35"/>
  <c r="M204" i="35"/>
  <c r="M205" i="35"/>
  <c r="M206" i="35"/>
  <c r="M207" i="35"/>
  <c r="M208" i="35"/>
  <c r="M209" i="35"/>
  <c r="M210" i="35"/>
  <c r="M211" i="35"/>
  <c r="M212" i="35"/>
  <c r="M213" i="35"/>
  <c r="M214" i="35"/>
  <c r="M215" i="35"/>
  <c r="M216" i="35"/>
  <c r="M217" i="35"/>
  <c r="M218" i="35"/>
  <c r="M219" i="35"/>
  <c r="M220" i="35"/>
  <c r="M221" i="35"/>
  <c r="M222" i="35"/>
  <c r="M223" i="35"/>
  <c r="M224" i="35"/>
  <c r="M225" i="35"/>
  <c r="M226" i="35"/>
  <c r="M227" i="35"/>
  <c r="M228" i="35"/>
  <c r="M229" i="35"/>
  <c r="M230" i="35"/>
  <c r="M231" i="35"/>
  <c r="M232" i="35"/>
  <c r="M233" i="35"/>
  <c r="M234" i="35"/>
  <c r="M235" i="35"/>
  <c r="M236" i="35"/>
  <c r="M237" i="35"/>
  <c r="M238" i="35"/>
  <c r="M239" i="35"/>
  <c r="M240" i="35"/>
  <c r="M241" i="35"/>
  <c r="M242" i="35"/>
  <c r="M243" i="35"/>
  <c r="M244" i="35"/>
  <c r="M245" i="35"/>
  <c r="M246" i="35"/>
  <c r="M247" i="35"/>
  <c r="M248" i="35"/>
  <c r="M249" i="35"/>
  <c r="M250" i="35"/>
  <c r="M251" i="35"/>
  <c r="M252" i="35"/>
  <c r="M253" i="35"/>
  <c r="M254" i="35"/>
  <c r="M255" i="35"/>
  <c r="M256" i="35"/>
  <c r="M257" i="35"/>
  <c r="M258" i="35"/>
  <c r="M259" i="35"/>
  <c r="M260" i="35"/>
  <c r="M261" i="35"/>
  <c r="M262" i="35"/>
  <c r="M263" i="35"/>
  <c r="M264" i="35"/>
  <c r="M265" i="35"/>
  <c r="M266" i="35"/>
  <c r="M267" i="35"/>
  <c r="M268" i="35"/>
  <c r="M269" i="35"/>
  <c r="M270" i="35"/>
  <c r="M271" i="35"/>
  <c r="M272" i="35"/>
  <c r="M273" i="35"/>
  <c r="M274" i="35"/>
  <c r="M275" i="35"/>
  <c r="M276" i="35"/>
  <c r="M277" i="35"/>
  <c r="M278" i="35"/>
  <c r="M279" i="35"/>
  <c r="M280" i="35"/>
  <c r="M281" i="35"/>
  <c r="M282" i="35"/>
  <c r="M283" i="35"/>
  <c r="M284" i="35"/>
  <c r="M285" i="35"/>
  <c r="M286" i="35"/>
  <c r="M287" i="35"/>
  <c r="M288" i="35"/>
  <c r="M289" i="35"/>
  <c r="M290" i="35"/>
  <c r="M291" i="35"/>
  <c r="M292" i="35"/>
  <c r="M293" i="35"/>
  <c r="M294" i="35"/>
  <c r="M295" i="35"/>
  <c r="M296" i="35"/>
  <c r="M297" i="35"/>
  <c r="M298" i="35"/>
  <c r="M299" i="35"/>
  <c r="M300" i="35"/>
  <c r="M301" i="35"/>
  <c r="M302" i="35"/>
  <c r="M303" i="35"/>
  <c r="M304" i="35"/>
  <c r="M305" i="35"/>
  <c r="M306" i="35"/>
  <c r="M307" i="35"/>
  <c r="M308" i="35"/>
  <c r="M309" i="35"/>
  <c r="M310" i="35"/>
  <c r="M311" i="35"/>
  <c r="M312" i="35"/>
  <c r="M313" i="35"/>
  <c r="M314" i="35"/>
  <c r="M315" i="35"/>
  <c r="M316" i="35"/>
  <c r="M317" i="35"/>
  <c r="M318" i="35"/>
  <c r="M319" i="35"/>
  <c r="M320" i="35"/>
  <c r="M321" i="35"/>
  <c r="M322" i="35"/>
  <c r="M323" i="35"/>
  <c r="M324" i="35"/>
  <c r="M325" i="35"/>
  <c r="M326" i="35"/>
  <c r="M327" i="35"/>
  <c r="M328" i="35"/>
  <c r="M329" i="35"/>
  <c r="M330" i="35"/>
  <c r="M331" i="35"/>
  <c r="M332" i="35"/>
  <c r="M333" i="35"/>
  <c r="M334" i="35"/>
  <c r="M335" i="35"/>
  <c r="M336" i="35"/>
  <c r="M337" i="35"/>
  <c r="M338" i="35"/>
  <c r="M339" i="35"/>
  <c r="M340" i="35"/>
  <c r="M341" i="35"/>
  <c r="M342" i="35"/>
  <c r="M343" i="35"/>
  <c r="M344" i="35"/>
  <c r="M345" i="35"/>
  <c r="M346" i="35"/>
  <c r="M347" i="35"/>
  <c r="M348" i="35"/>
  <c r="M349" i="35"/>
  <c r="M350" i="35"/>
  <c r="M351" i="35"/>
  <c r="M352" i="35"/>
  <c r="M353" i="35"/>
  <c r="M354" i="35"/>
  <c r="M355" i="35"/>
  <c r="M356" i="35"/>
  <c r="M357" i="35"/>
  <c r="M358" i="35"/>
  <c r="M359" i="35"/>
  <c r="M360" i="35"/>
  <c r="M361" i="35"/>
  <c r="M362" i="35"/>
  <c r="M363" i="35"/>
  <c r="M364" i="35"/>
  <c r="M365" i="35"/>
  <c r="M366" i="35"/>
  <c r="M367" i="35"/>
  <c r="M368" i="35"/>
  <c r="M369" i="35"/>
  <c r="M370" i="35"/>
  <c r="M371" i="35"/>
  <c r="M372" i="35"/>
  <c r="M373" i="35"/>
  <c r="M374" i="35"/>
  <c r="M375" i="35"/>
  <c r="M376" i="35"/>
  <c r="M377" i="35"/>
  <c r="M378" i="35"/>
  <c r="M379" i="35"/>
  <c r="M380" i="35"/>
  <c r="M381" i="35"/>
  <c r="M382" i="35"/>
  <c r="M383" i="35"/>
  <c r="M384" i="35"/>
  <c r="M385" i="35"/>
  <c r="M386" i="35"/>
  <c r="M387" i="35"/>
  <c r="M388" i="35"/>
  <c r="M389" i="35"/>
  <c r="M390" i="35"/>
  <c r="M391" i="35"/>
  <c r="M392" i="35"/>
  <c r="M393" i="35"/>
  <c r="M394" i="35"/>
  <c r="M395" i="35"/>
  <c r="M396" i="35"/>
  <c r="M397" i="35"/>
  <c r="M398" i="35"/>
  <c r="M399" i="35"/>
  <c r="M400" i="35"/>
  <c r="M401" i="35"/>
  <c r="M402" i="35"/>
  <c r="M403" i="35"/>
  <c r="M404" i="35"/>
  <c r="M405" i="35"/>
  <c r="M406" i="35"/>
  <c r="M407" i="35"/>
  <c r="M408" i="35"/>
  <c r="M409" i="35"/>
  <c r="M410" i="35"/>
  <c r="M411" i="35"/>
  <c r="M412" i="35"/>
  <c r="M413" i="35"/>
  <c r="M414" i="35"/>
  <c r="M415" i="35"/>
  <c r="M416" i="35"/>
  <c r="M417" i="35"/>
  <c r="M418" i="35"/>
  <c r="M419" i="35"/>
  <c r="M420" i="35"/>
  <c r="M421" i="35"/>
  <c r="M422" i="35"/>
  <c r="M423" i="35"/>
  <c r="M424" i="35"/>
  <c r="M425" i="35"/>
  <c r="M426" i="35"/>
  <c r="M427" i="35"/>
  <c r="M428" i="35"/>
  <c r="M429" i="35"/>
  <c r="M430" i="35"/>
  <c r="M431" i="35"/>
  <c r="M432" i="35"/>
  <c r="M433" i="35"/>
  <c r="M434" i="35"/>
  <c r="M435" i="35"/>
  <c r="M436" i="35"/>
  <c r="M437" i="35"/>
  <c r="M438" i="35"/>
  <c r="M439" i="35"/>
  <c r="M440" i="35"/>
  <c r="M441" i="35"/>
  <c r="M442" i="35"/>
  <c r="M443" i="35"/>
  <c r="M444" i="35"/>
  <c r="M445" i="35"/>
  <c r="M446" i="35"/>
  <c r="M447" i="35"/>
  <c r="M448" i="35"/>
  <c r="M449" i="35"/>
  <c r="M450" i="35"/>
  <c r="M451" i="35"/>
  <c r="M452" i="35"/>
  <c r="M453" i="35"/>
  <c r="M454" i="35"/>
  <c r="M455" i="35"/>
  <c r="M456" i="35"/>
  <c r="M457" i="35"/>
  <c r="M458" i="35"/>
  <c r="M459" i="35"/>
  <c r="M460" i="35"/>
  <c r="M461" i="35"/>
  <c r="M462" i="35"/>
  <c r="M463" i="35"/>
  <c r="M464" i="35"/>
  <c r="M465" i="35"/>
  <c r="M466" i="35"/>
  <c r="M467" i="35"/>
  <c r="M468" i="35"/>
  <c r="M469" i="35"/>
  <c r="M470" i="35"/>
  <c r="M471" i="35"/>
  <c r="M472" i="35"/>
  <c r="M473" i="35"/>
  <c r="M474" i="35"/>
  <c r="M475" i="35"/>
  <c r="M476" i="35"/>
  <c r="M477" i="35"/>
  <c r="M478" i="35"/>
  <c r="M479" i="35"/>
  <c r="M480" i="35"/>
  <c r="M481" i="35"/>
  <c r="M482" i="35"/>
  <c r="M483" i="35"/>
  <c r="M484" i="35"/>
  <c r="M485" i="35"/>
  <c r="M486" i="35"/>
  <c r="M487" i="35"/>
  <c r="M488" i="35"/>
  <c r="M489" i="35"/>
  <c r="M490" i="35"/>
  <c r="M491" i="35"/>
  <c r="M492" i="35"/>
  <c r="M493" i="35"/>
  <c r="M494" i="35"/>
  <c r="M495" i="35"/>
  <c r="M496" i="35"/>
  <c r="M497" i="35"/>
  <c r="M674" i="35" s="1"/>
  <c r="M498" i="35"/>
  <c r="M675" i="35" s="1"/>
  <c r="M499" i="35"/>
  <c r="M676" i="35" s="1"/>
  <c r="M500" i="35"/>
  <c r="M501" i="35"/>
  <c r="M502" i="35"/>
  <c r="M503" i="35"/>
  <c r="M504" i="35"/>
  <c r="M505" i="35"/>
  <c r="M506" i="35"/>
  <c r="M507" i="35"/>
  <c r="M508" i="35"/>
  <c r="M509" i="35"/>
  <c r="M510" i="35"/>
  <c r="M511" i="35"/>
  <c r="M512" i="35"/>
  <c r="M513" i="35"/>
  <c r="M514" i="35"/>
  <c r="M515" i="35"/>
  <c r="M516" i="35"/>
  <c r="M517" i="35"/>
  <c r="M518" i="35"/>
  <c r="M519" i="35"/>
  <c r="M520" i="35"/>
  <c r="M521" i="35"/>
  <c r="M522" i="35"/>
  <c r="M523" i="35"/>
  <c r="M524" i="35"/>
  <c r="M525" i="35"/>
  <c r="M526" i="35"/>
  <c r="M527" i="35"/>
  <c r="M528" i="35"/>
  <c r="M529" i="35"/>
  <c r="M530" i="35"/>
  <c r="M531" i="35"/>
  <c r="M532" i="35"/>
  <c r="M533" i="35"/>
  <c r="M534" i="35"/>
  <c r="M535" i="35"/>
  <c r="M536" i="35"/>
  <c r="M537" i="35"/>
  <c r="M538" i="35"/>
  <c r="M539" i="35"/>
  <c r="M540" i="35"/>
  <c r="M563" i="35"/>
  <c r="M564" i="35"/>
  <c r="M573" i="35"/>
  <c r="M565" i="35"/>
  <c r="M566" i="35"/>
  <c r="M567" i="35"/>
  <c r="M568" i="35"/>
  <c r="M569" i="35"/>
  <c r="M570" i="35"/>
  <c r="M571" i="35"/>
  <c r="M572" i="35"/>
  <c r="M574" i="35"/>
  <c r="M575" i="35"/>
  <c r="M584" i="35"/>
  <c r="M576" i="35"/>
  <c r="M577" i="35"/>
  <c r="M578" i="35"/>
  <c r="M579" i="35"/>
  <c r="M580" i="35"/>
  <c r="M581" i="35"/>
  <c r="M582" i="35"/>
  <c r="M583" i="35"/>
  <c r="M2" i="35"/>
  <c r="K1047" i="36"/>
  <c r="K1048" i="36"/>
  <c r="K1049" i="36"/>
  <c r="K1050" i="36"/>
  <c r="K1051" i="36"/>
  <c r="K1052" i="36"/>
  <c r="K1053" i="36"/>
  <c r="K1054" i="36"/>
  <c r="K1055" i="36"/>
  <c r="K1056" i="36"/>
  <c r="K1057" i="36"/>
  <c r="P35" i="36"/>
  <c r="P36" i="36"/>
  <c r="P37" i="36"/>
  <c r="P38" i="36"/>
  <c r="P39" i="36"/>
  <c r="P40" i="36"/>
  <c r="P41" i="36"/>
  <c r="P42" i="36"/>
  <c r="P43" i="36"/>
  <c r="P44" i="36"/>
  <c r="P45" i="36"/>
  <c r="P157" i="36"/>
  <c r="P158" i="36"/>
  <c r="P159" i="36"/>
  <c r="P160" i="36"/>
  <c r="P161" i="36"/>
  <c r="P162" i="36"/>
  <c r="P163" i="36"/>
  <c r="P164" i="36"/>
  <c r="P165" i="36"/>
  <c r="P166" i="36"/>
  <c r="P178" i="36"/>
  <c r="P179" i="36"/>
  <c r="P180" i="36"/>
  <c r="P181" i="36"/>
  <c r="P182" i="36"/>
  <c r="P183" i="36"/>
  <c r="P184" i="36"/>
  <c r="P185" i="36"/>
  <c r="P186" i="36"/>
  <c r="P187" i="36"/>
  <c r="P188" i="36"/>
  <c r="P211" i="36"/>
  <c r="P212" i="36"/>
  <c r="P213" i="36"/>
  <c r="P214" i="36"/>
  <c r="P215" i="36"/>
  <c r="P216" i="36"/>
  <c r="P217" i="36"/>
  <c r="P218" i="36"/>
  <c r="P219" i="36"/>
  <c r="P220" i="36"/>
  <c r="P221" i="36"/>
  <c r="P233" i="36"/>
  <c r="P234" i="36"/>
  <c r="P235" i="36"/>
  <c r="P236" i="36"/>
  <c r="P237" i="36"/>
  <c r="P238" i="36"/>
  <c r="P239" i="36"/>
  <c r="P240" i="36"/>
  <c r="P241" i="36"/>
  <c r="P242" i="36"/>
  <c r="P243" i="36"/>
  <c r="P299" i="36"/>
  <c r="P300" i="36"/>
  <c r="P301" i="36"/>
  <c r="P302" i="36"/>
  <c r="P303" i="36"/>
  <c r="P304" i="36"/>
  <c r="P305" i="36"/>
  <c r="P306" i="36"/>
  <c r="P307" i="36"/>
  <c r="P308" i="36"/>
  <c r="P309" i="36"/>
  <c r="P310" i="36"/>
  <c r="P311" i="36"/>
  <c r="P312" i="36"/>
  <c r="P313" i="36"/>
  <c r="P314" i="36"/>
  <c r="P315" i="36"/>
  <c r="P316" i="36"/>
  <c r="P317" i="36"/>
  <c r="P318" i="36"/>
  <c r="P319" i="36"/>
  <c r="P320" i="36"/>
  <c r="P332" i="36"/>
  <c r="P333" i="36"/>
  <c r="P334" i="36"/>
  <c r="P335" i="36"/>
  <c r="P336" i="36"/>
  <c r="P337" i="36"/>
  <c r="P338" i="36"/>
  <c r="P339" i="36"/>
  <c r="P340" i="36"/>
  <c r="P341" i="36"/>
  <c r="P342" i="36"/>
  <c r="P409" i="36"/>
  <c r="P410" i="36"/>
  <c r="P411" i="36"/>
  <c r="P412" i="36"/>
  <c r="P413" i="36"/>
  <c r="P414" i="36"/>
  <c r="P415" i="36"/>
  <c r="P416" i="36"/>
  <c r="P417" i="36"/>
  <c r="P418" i="36"/>
  <c r="P419" i="36"/>
  <c r="P431" i="36"/>
  <c r="P432" i="36"/>
  <c r="P433" i="36"/>
  <c r="P434" i="36"/>
  <c r="P435" i="36"/>
  <c r="P436" i="36"/>
  <c r="P437" i="36"/>
  <c r="P438" i="36"/>
  <c r="P439" i="36"/>
  <c r="P440" i="36"/>
  <c r="P441" i="36"/>
  <c r="P442" i="36"/>
  <c r="P443" i="36"/>
  <c r="P444" i="36"/>
  <c r="P445" i="36"/>
  <c r="P446" i="36"/>
  <c r="P447" i="36"/>
  <c r="P448" i="36"/>
  <c r="P449" i="36"/>
  <c r="P450" i="36"/>
  <c r="P451" i="36"/>
  <c r="P452" i="36"/>
  <c r="P486" i="36"/>
  <c r="P487" i="36"/>
  <c r="P488" i="36"/>
  <c r="P489" i="36"/>
  <c r="P490" i="36"/>
  <c r="P491" i="36"/>
  <c r="P492" i="36"/>
  <c r="P493" i="36"/>
  <c r="P494" i="36"/>
  <c r="P495" i="36"/>
  <c r="P496" i="36"/>
  <c r="P508" i="36"/>
  <c r="P509" i="36"/>
  <c r="P510" i="36"/>
  <c r="P511" i="36"/>
  <c r="P512" i="36"/>
  <c r="P513" i="36"/>
  <c r="P514" i="36"/>
  <c r="P515" i="36"/>
  <c r="P516" i="36"/>
  <c r="P517" i="36"/>
  <c r="P518" i="36"/>
  <c r="P541" i="36"/>
  <c r="P542" i="36"/>
  <c r="P543" i="36"/>
  <c r="P544" i="36"/>
  <c r="P545" i="36"/>
  <c r="P546" i="36"/>
  <c r="P547" i="36"/>
  <c r="P548" i="36"/>
  <c r="P549" i="36"/>
  <c r="P550" i="36"/>
  <c r="P551" i="36"/>
  <c r="P563" i="36"/>
  <c r="P564" i="36"/>
  <c r="P565" i="36"/>
  <c r="P566" i="36"/>
  <c r="P567" i="36"/>
  <c r="P568" i="36"/>
  <c r="P569" i="36"/>
  <c r="P570" i="36"/>
  <c r="P571" i="36"/>
  <c r="P572" i="36"/>
  <c r="P573" i="36"/>
  <c r="P585" i="36"/>
  <c r="P586" i="36"/>
  <c r="P587" i="36"/>
  <c r="P588" i="36"/>
  <c r="P589" i="36"/>
  <c r="P590" i="36"/>
  <c r="P591" i="36"/>
  <c r="P592" i="36"/>
  <c r="P593" i="36"/>
  <c r="P594" i="36"/>
  <c r="P595" i="36"/>
  <c r="P640" i="36"/>
  <c r="P641" i="36"/>
  <c r="P642" i="36"/>
  <c r="P643" i="36"/>
  <c r="P644" i="36"/>
  <c r="P645" i="36"/>
  <c r="P646" i="36"/>
  <c r="P647" i="36"/>
  <c r="P648" i="36"/>
  <c r="P649" i="36"/>
  <c r="P650" i="36"/>
  <c r="P673" i="36"/>
  <c r="P674" i="36"/>
  <c r="P675" i="36"/>
  <c r="P676" i="36"/>
  <c r="P677" i="36"/>
  <c r="P678" i="36"/>
  <c r="P679" i="36"/>
  <c r="P680" i="36"/>
  <c r="P681" i="36"/>
  <c r="P682" i="36"/>
  <c r="P683" i="36"/>
  <c r="P717" i="36"/>
  <c r="P718" i="36"/>
  <c r="P719" i="36"/>
  <c r="P720" i="36"/>
  <c r="P721" i="36"/>
  <c r="P722" i="36"/>
  <c r="P723" i="36"/>
  <c r="P724" i="36"/>
  <c r="P725" i="36"/>
  <c r="P726" i="36"/>
  <c r="P727" i="36"/>
  <c r="P739" i="36"/>
  <c r="P740" i="36"/>
  <c r="P741" i="36"/>
  <c r="P742" i="36"/>
  <c r="P743" i="36"/>
  <c r="P744" i="36"/>
  <c r="P745" i="36"/>
  <c r="P746" i="36"/>
  <c r="P747" i="36"/>
  <c r="P748" i="36"/>
  <c r="P749" i="36"/>
  <c r="P761" i="36"/>
  <c r="P762" i="36"/>
  <c r="P763" i="36"/>
  <c r="P764" i="36"/>
  <c r="P765" i="36"/>
  <c r="P766" i="36"/>
  <c r="P767" i="36"/>
  <c r="P768" i="36"/>
  <c r="P769" i="36"/>
  <c r="P770" i="36"/>
  <c r="P771" i="36"/>
  <c r="P794" i="36"/>
  <c r="P795" i="36"/>
  <c r="P796" i="36"/>
  <c r="P797" i="36"/>
  <c r="P798" i="36"/>
  <c r="P799" i="36"/>
  <c r="P800" i="36"/>
  <c r="P801" i="36"/>
  <c r="P802" i="36"/>
  <c r="P803" i="36"/>
  <c r="P804" i="36"/>
  <c r="P805" i="36"/>
  <c r="P806" i="36"/>
  <c r="P807" i="36"/>
  <c r="P808" i="36"/>
  <c r="P809" i="36"/>
  <c r="P810" i="36"/>
  <c r="P811" i="36"/>
  <c r="P812" i="36"/>
  <c r="P813" i="36"/>
  <c r="P814" i="36"/>
  <c r="P815" i="36"/>
  <c r="P816" i="36"/>
  <c r="P817" i="36"/>
  <c r="P818" i="36"/>
  <c r="P819" i="36"/>
  <c r="P820" i="36"/>
  <c r="P821" i="36"/>
  <c r="P822" i="36"/>
  <c r="P823" i="36"/>
  <c r="P824" i="36"/>
  <c r="P825" i="36"/>
  <c r="P826" i="36"/>
  <c r="P838" i="36"/>
  <c r="P839" i="36"/>
  <c r="P840" i="36"/>
  <c r="P841" i="36"/>
  <c r="P842" i="36"/>
  <c r="P843" i="36"/>
  <c r="P844" i="36"/>
  <c r="P845" i="36"/>
  <c r="P846" i="36"/>
  <c r="P847" i="36"/>
  <c r="P848" i="36"/>
  <c r="P860" i="36"/>
  <c r="P861" i="36"/>
  <c r="P862" i="36"/>
  <c r="P863" i="36"/>
  <c r="P864" i="36"/>
  <c r="P865" i="36"/>
  <c r="P866" i="36"/>
  <c r="P867" i="36"/>
  <c r="P868" i="36"/>
  <c r="P869" i="36"/>
  <c r="P870" i="36"/>
  <c r="P904" i="36"/>
  <c r="P905" i="36"/>
  <c r="P906" i="36"/>
  <c r="P907" i="36"/>
  <c r="P908" i="36"/>
  <c r="P909" i="36"/>
  <c r="P910" i="36"/>
  <c r="P911" i="36"/>
  <c r="P912" i="36"/>
  <c r="P913" i="36"/>
  <c r="P914" i="36"/>
  <c r="P948" i="36"/>
  <c r="P949" i="36"/>
  <c r="P950" i="36"/>
  <c r="P951" i="36"/>
  <c r="P952" i="36"/>
  <c r="P953" i="36"/>
  <c r="P954" i="36"/>
  <c r="P955" i="36"/>
  <c r="P956" i="36"/>
  <c r="P957" i="36"/>
  <c r="P958" i="36"/>
  <c r="P959" i="36"/>
  <c r="P960" i="36"/>
  <c r="P961" i="36"/>
  <c r="P962" i="36"/>
  <c r="P963" i="36"/>
  <c r="P964" i="36"/>
  <c r="P965" i="36"/>
  <c r="P966" i="36"/>
  <c r="P967" i="36"/>
  <c r="P968" i="36"/>
  <c r="P969" i="36"/>
  <c r="P970" i="36"/>
  <c r="P971" i="36"/>
  <c r="P972" i="36"/>
  <c r="P973" i="36"/>
  <c r="P974" i="36"/>
  <c r="P975" i="36"/>
  <c r="P976" i="36"/>
  <c r="P977" i="36"/>
  <c r="P978" i="36"/>
  <c r="P979" i="36"/>
  <c r="P980" i="36"/>
  <c r="P1025" i="36"/>
  <c r="P1026" i="36"/>
  <c r="P1027" i="36"/>
  <c r="P1028" i="36"/>
  <c r="P1029" i="36"/>
  <c r="P1030" i="36"/>
  <c r="P1031" i="36"/>
  <c r="P1032" i="36"/>
  <c r="P1033" i="36"/>
  <c r="P1034" i="36"/>
  <c r="P1035" i="36"/>
  <c r="P156" i="36"/>
  <c r="K3" i="36"/>
  <c r="K4" i="36"/>
  <c r="K5" i="36"/>
  <c r="K6" i="36"/>
  <c r="K7" i="36"/>
  <c r="K8" i="36"/>
  <c r="K9" i="36"/>
  <c r="K10" i="36"/>
  <c r="K11" i="36"/>
  <c r="K12" i="36"/>
  <c r="K13" i="36"/>
  <c r="K14" i="36"/>
  <c r="K15" i="36"/>
  <c r="K16" i="36"/>
  <c r="K17" i="36"/>
  <c r="K18" i="36"/>
  <c r="K19" i="36"/>
  <c r="K20" i="36"/>
  <c r="K21" i="36"/>
  <c r="K22" i="36"/>
  <c r="K23" i="36"/>
  <c r="K24" i="36"/>
  <c r="K25" i="36"/>
  <c r="K26" i="36"/>
  <c r="K27" i="36"/>
  <c r="K28" i="36"/>
  <c r="K29" i="36"/>
  <c r="K30" i="36"/>
  <c r="K31" i="36"/>
  <c r="K32" i="36"/>
  <c r="K33" i="36"/>
  <c r="K34" i="36"/>
  <c r="K35" i="36"/>
  <c r="K36" i="36"/>
  <c r="K37" i="36"/>
  <c r="K38" i="36"/>
  <c r="K39" i="36"/>
  <c r="K40" i="36"/>
  <c r="K41" i="36"/>
  <c r="K42" i="36"/>
  <c r="K43" i="36"/>
  <c r="K44" i="36"/>
  <c r="K45" i="36"/>
  <c r="K46" i="36"/>
  <c r="K47" i="36"/>
  <c r="K48" i="36"/>
  <c r="K49" i="36"/>
  <c r="K50" i="36"/>
  <c r="K51" i="36"/>
  <c r="K52" i="36"/>
  <c r="K53" i="36"/>
  <c r="K54" i="36"/>
  <c r="K55" i="36"/>
  <c r="K56" i="36"/>
  <c r="K57" i="36"/>
  <c r="K58" i="36"/>
  <c r="K59" i="36"/>
  <c r="K60" i="36"/>
  <c r="K61" i="36"/>
  <c r="K62" i="36"/>
  <c r="K63" i="36"/>
  <c r="K64" i="36"/>
  <c r="K65" i="36"/>
  <c r="K66" i="36"/>
  <c r="K67" i="36"/>
  <c r="K68" i="36"/>
  <c r="K69" i="36"/>
  <c r="K70" i="36"/>
  <c r="K71" i="36"/>
  <c r="K72" i="36"/>
  <c r="K73" i="36"/>
  <c r="K74" i="36"/>
  <c r="K75" i="36"/>
  <c r="K76" i="36"/>
  <c r="K77" i="36"/>
  <c r="K78" i="36"/>
  <c r="K90" i="36"/>
  <c r="K91" i="36"/>
  <c r="K92" i="36"/>
  <c r="K93" i="36"/>
  <c r="K94" i="36"/>
  <c r="K95" i="36"/>
  <c r="K96" i="36"/>
  <c r="K97" i="36"/>
  <c r="K98" i="36"/>
  <c r="K99" i="36"/>
  <c r="K100" i="36"/>
  <c r="K101" i="36"/>
  <c r="K102" i="36"/>
  <c r="K103" i="36"/>
  <c r="K104" i="36"/>
  <c r="K105" i="36"/>
  <c r="K106" i="36"/>
  <c r="K107" i="36"/>
  <c r="K108" i="36"/>
  <c r="K109" i="36"/>
  <c r="K110" i="36"/>
  <c r="K111" i="36"/>
  <c r="K112" i="36"/>
  <c r="K113" i="36"/>
  <c r="K114" i="36"/>
  <c r="K115" i="36"/>
  <c r="K116" i="36"/>
  <c r="K117" i="36"/>
  <c r="K118" i="36"/>
  <c r="K119" i="36"/>
  <c r="K120" i="36"/>
  <c r="K121" i="36"/>
  <c r="K122" i="36"/>
  <c r="K123" i="36"/>
  <c r="K124" i="36"/>
  <c r="K125" i="36"/>
  <c r="K126" i="36"/>
  <c r="K127" i="36"/>
  <c r="K128" i="36"/>
  <c r="K129" i="36"/>
  <c r="K130" i="36"/>
  <c r="K131" i="36"/>
  <c r="K132" i="36"/>
  <c r="K133" i="36"/>
  <c r="K134" i="36"/>
  <c r="K135" i="36"/>
  <c r="K136" i="36"/>
  <c r="K137" i="36"/>
  <c r="K138" i="36"/>
  <c r="K139" i="36"/>
  <c r="K140" i="36"/>
  <c r="K141" i="36"/>
  <c r="K142" i="36"/>
  <c r="K143" i="36"/>
  <c r="K144" i="36"/>
  <c r="K145" i="36"/>
  <c r="K146" i="36"/>
  <c r="K147" i="36"/>
  <c r="K148" i="36"/>
  <c r="K149" i="36"/>
  <c r="K150" i="36"/>
  <c r="K151" i="36"/>
  <c r="K152" i="36"/>
  <c r="K153" i="36"/>
  <c r="K154" i="36"/>
  <c r="K155" i="36"/>
  <c r="K156" i="36"/>
  <c r="K157" i="36"/>
  <c r="K158" i="36"/>
  <c r="K159" i="36"/>
  <c r="K160" i="36"/>
  <c r="K161" i="36"/>
  <c r="K162" i="36"/>
  <c r="K163" i="36"/>
  <c r="K164" i="36"/>
  <c r="K165" i="36"/>
  <c r="K166" i="36"/>
  <c r="K167" i="36"/>
  <c r="K168" i="36"/>
  <c r="K169" i="36"/>
  <c r="K170" i="36"/>
  <c r="K171" i="36"/>
  <c r="K172" i="36"/>
  <c r="K173" i="36"/>
  <c r="K174" i="36"/>
  <c r="K175" i="36"/>
  <c r="K176" i="36"/>
  <c r="K177" i="36"/>
  <c r="K178" i="36"/>
  <c r="K179" i="36"/>
  <c r="K180" i="36"/>
  <c r="K181" i="36"/>
  <c r="K182" i="36"/>
  <c r="K183" i="36"/>
  <c r="K184" i="36"/>
  <c r="K185" i="36"/>
  <c r="K186" i="36"/>
  <c r="K187" i="36"/>
  <c r="K188" i="36"/>
  <c r="K189" i="36"/>
  <c r="K190" i="36"/>
  <c r="K191" i="36"/>
  <c r="K192" i="36"/>
  <c r="K193" i="36"/>
  <c r="K194" i="36"/>
  <c r="K195" i="36"/>
  <c r="K196" i="36"/>
  <c r="K197" i="36"/>
  <c r="K198" i="36"/>
  <c r="K199" i="36"/>
  <c r="K200" i="36"/>
  <c r="K201" i="36"/>
  <c r="K202" i="36"/>
  <c r="K203" i="36"/>
  <c r="K204" i="36"/>
  <c r="K205" i="36"/>
  <c r="K206" i="36"/>
  <c r="K207" i="36"/>
  <c r="K208" i="36"/>
  <c r="K209" i="36"/>
  <c r="K210" i="36"/>
  <c r="K211" i="36"/>
  <c r="K212" i="36"/>
  <c r="K213" i="36"/>
  <c r="K214" i="36"/>
  <c r="K215" i="36"/>
  <c r="K216" i="36"/>
  <c r="K217" i="36"/>
  <c r="K218" i="36"/>
  <c r="K219" i="36"/>
  <c r="K220" i="36"/>
  <c r="K221" i="36"/>
  <c r="K79" i="36"/>
  <c r="K80" i="36"/>
  <c r="K81" i="36"/>
  <c r="K82" i="36"/>
  <c r="K83" i="36"/>
  <c r="K84" i="36"/>
  <c r="K85" i="36"/>
  <c r="K86" i="36"/>
  <c r="K87" i="36"/>
  <c r="K88" i="36"/>
  <c r="K89" i="36"/>
  <c r="K222" i="36"/>
  <c r="K223" i="36"/>
  <c r="K224" i="36"/>
  <c r="K225" i="36"/>
  <c r="K226" i="36"/>
  <c r="K227" i="36"/>
  <c r="K228" i="36"/>
  <c r="K229" i="36"/>
  <c r="K230" i="36"/>
  <c r="K231" i="36"/>
  <c r="K232" i="36"/>
  <c r="K233" i="36"/>
  <c r="K234" i="36"/>
  <c r="K235" i="36"/>
  <c r="K236" i="36"/>
  <c r="K237" i="36"/>
  <c r="K238" i="36"/>
  <c r="K239" i="36"/>
  <c r="K240" i="36"/>
  <c r="K241" i="36"/>
  <c r="K242" i="36"/>
  <c r="K243" i="36"/>
  <c r="K244" i="36"/>
  <c r="K245" i="36"/>
  <c r="K246" i="36"/>
  <c r="K247" i="36"/>
  <c r="K248" i="36"/>
  <c r="K249" i="36"/>
  <c r="K250" i="36"/>
  <c r="K251" i="36"/>
  <c r="K252" i="36"/>
  <c r="K253" i="36"/>
  <c r="K254" i="36"/>
  <c r="K255" i="36"/>
  <c r="K256" i="36"/>
  <c r="K257" i="36"/>
  <c r="K258" i="36"/>
  <c r="K259" i="36"/>
  <c r="K260" i="36"/>
  <c r="K261" i="36"/>
  <c r="K262" i="36"/>
  <c r="K263" i="36"/>
  <c r="K264" i="36"/>
  <c r="K265" i="36"/>
  <c r="K266" i="36"/>
  <c r="K267" i="36"/>
  <c r="K268" i="36"/>
  <c r="K269" i="36"/>
  <c r="K270" i="36"/>
  <c r="K271" i="36"/>
  <c r="K272" i="36"/>
  <c r="K273" i="36"/>
  <c r="K274" i="36"/>
  <c r="K275" i="36"/>
  <c r="K276" i="36"/>
  <c r="K277" i="36"/>
  <c r="K278" i="36"/>
  <c r="K279" i="36"/>
  <c r="K280" i="36"/>
  <c r="K281" i="36"/>
  <c r="K282" i="36"/>
  <c r="K283" i="36"/>
  <c r="K284" i="36"/>
  <c r="K285" i="36"/>
  <c r="K286" i="36"/>
  <c r="K287" i="36"/>
  <c r="K288" i="36"/>
  <c r="K289" i="36"/>
  <c r="K290" i="36"/>
  <c r="K291" i="36"/>
  <c r="K292" i="36"/>
  <c r="K293" i="36"/>
  <c r="K294" i="36"/>
  <c r="K295" i="36"/>
  <c r="K296" i="36"/>
  <c r="K297" i="36"/>
  <c r="K298" i="36"/>
  <c r="K299" i="36"/>
  <c r="K300" i="36"/>
  <c r="K301" i="36"/>
  <c r="K302" i="36"/>
  <c r="K303" i="36"/>
  <c r="K304" i="36"/>
  <c r="K305" i="36"/>
  <c r="K306" i="36"/>
  <c r="K307" i="36"/>
  <c r="K308" i="36"/>
  <c r="K309" i="36"/>
  <c r="K310" i="36"/>
  <c r="K311" i="36"/>
  <c r="K312" i="36"/>
  <c r="K313" i="36"/>
  <c r="K314" i="36"/>
  <c r="K315" i="36"/>
  <c r="K316" i="36"/>
  <c r="K317" i="36"/>
  <c r="K318" i="36"/>
  <c r="K319" i="36"/>
  <c r="K320" i="36"/>
  <c r="K321" i="36"/>
  <c r="K322" i="36"/>
  <c r="K323" i="36"/>
  <c r="K324" i="36"/>
  <c r="K325" i="36"/>
  <c r="K326" i="36"/>
  <c r="K327" i="36"/>
  <c r="K328" i="36"/>
  <c r="K329" i="36"/>
  <c r="K330" i="36"/>
  <c r="K331" i="36"/>
  <c r="K332" i="36"/>
  <c r="K333" i="36"/>
  <c r="K334" i="36"/>
  <c r="K335" i="36"/>
  <c r="K336" i="36"/>
  <c r="K337" i="36"/>
  <c r="K338" i="36"/>
  <c r="K339" i="36"/>
  <c r="K340" i="36"/>
  <c r="K341" i="36"/>
  <c r="K342" i="36"/>
  <c r="K343" i="36"/>
  <c r="K344" i="36"/>
  <c r="K345" i="36"/>
  <c r="K346" i="36"/>
  <c r="K347" i="36"/>
  <c r="K348" i="36"/>
  <c r="K349" i="36"/>
  <c r="K350" i="36"/>
  <c r="K351" i="36"/>
  <c r="K352" i="36"/>
  <c r="K353" i="36"/>
  <c r="K354" i="36"/>
  <c r="K355" i="36"/>
  <c r="K356" i="36"/>
  <c r="K357" i="36"/>
  <c r="K358" i="36"/>
  <c r="K359" i="36"/>
  <c r="K360" i="36"/>
  <c r="K361" i="36"/>
  <c r="K362" i="36"/>
  <c r="K363" i="36"/>
  <c r="K364" i="36"/>
  <c r="K365" i="36"/>
  <c r="K366" i="36"/>
  <c r="K367" i="36"/>
  <c r="K368" i="36"/>
  <c r="K369" i="36"/>
  <c r="K370" i="36"/>
  <c r="K371" i="36"/>
  <c r="K372" i="36"/>
  <c r="K373" i="36"/>
  <c r="K374" i="36"/>
  <c r="K375" i="36"/>
  <c r="K387" i="36"/>
  <c r="K388" i="36"/>
  <c r="K389" i="36"/>
  <c r="K390" i="36"/>
  <c r="K391" i="36"/>
  <c r="K392" i="36"/>
  <c r="K393" i="36"/>
  <c r="K394" i="36"/>
  <c r="K395" i="36"/>
  <c r="K396" i="36"/>
  <c r="K397" i="36"/>
  <c r="K398" i="36"/>
  <c r="K399" i="36"/>
  <c r="K400" i="36"/>
  <c r="K401" i="36"/>
  <c r="K402" i="36"/>
  <c r="K403" i="36"/>
  <c r="K404" i="36"/>
  <c r="K405" i="36"/>
  <c r="K406" i="36"/>
  <c r="K407" i="36"/>
  <c r="K408" i="36"/>
  <c r="K409" i="36"/>
  <c r="K410" i="36"/>
  <c r="K411" i="36"/>
  <c r="K412" i="36"/>
  <c r="K413" i="36"/>
  <c r="K414" i="36"/>
  <c r="K415" i="36"/>
  <c r="K416" i="36"/>
  <c r="K417" i="36"/>
  <c r="K418" i="36"/>
  <c r="K419" i="36"/>
  <c r="K420" i="36"/>
  <c r="K421" i="36"/>
  <c r="K422" i="36"/>
  <c r="K423" i="36"/>
  <c r="K424" i="36"/>
  <c r="K425" i="36"/>
  <c r="K426" i="36"/>
  <c r="K427" i="36"/>
  <c r="K428" i="36"/>
  <c r="K429" i="36"/>
  <c r="K430" i="36"/>
  <c r="K431" i="36"/>
  <c r="K432" i="36"/>
  <c r="K433" i="36"/>
  <c r="K434" i="36"/>
  <c r="K435" i="36"/>
  <c r="K436" i="36"/>
  <c r="K437" i="36"/>
  <c r="K438" i="36"/>
  <c r="K439" i="36"/>
  <c r="K440" i="36"/>
  <c r="K441" i="36"/>
  <c r="K442" i="36"/>
  <c r="K443" i="36"/>
  <c r="K444" i="36"/>
  <c r="K445" i="36"/>
  <c r="K446" i="36"/>
  <c r="K447" i="36"/>
  <c r="K448" i="36"/>
  <c r="K449" i="36"/>
  <c r="K450" i="36"/>
  <c r="K451" i="36"/>
  <c r="K452" i="36"/>
  <c r="K464" i="36"/>
  <c r="K465" i="36"/>
  <c r="K466" i="36"/>
  <c r="K467" i="36"/>
  <c r="K468" i="36"/>
  <c r="K469" i="36"/>
  <c r="K470" i="36"/>
  <c r="K471" i="36"/>
  <c r="K472" i="36"/>
  <c r="K473" i="36"/>
  <c r="K474" i="36"/>
  <c r="K475" i="36"/>
  <c r="K476" i="36"/>
  <c r="K477" i="36"/>
  <c r="K478" i="36"/>
  <c r="K479" i="36"/>
  <c r="K480" i="36"/>
  <c r="K481" i="36"/>
  <c r="K482" i="36"/>
  <c r="K483" i="36"/>
  <c r="K484" i="36"/>
  <c r="K485" i="36"/>
  <c r="K486" i="36"/>
  <c r="K487" i="36"/>
  <c r="K488" i="36"/>
  <c r="K489" i="36"/>
  <c r="K490" i="36"/>
  <c r="K491" i="36"/>
  <c r="K492" i="36"/>
  <c r="K493" i="36"/>
  <c r="K494" i="36"/>
  <c r="K495" i="36"/>
  <c r="K496" i="36"/>
  <c r="K497" i="36"/>
  <c r="K498" i="36"/>
  <c r="K499" i="36"/>
  <c r="K500" i="36"/>
  <c r="K501" i="36"/>
  <c r="K502" i="36"/>
  <c r="K503" i="36"/>
  <c r="K504" i="36"/>
  <c r="K505" i="36"/>
  <c r="K506" i="36"/>
  <c r="K507" i="36"/>
  <c r="K508" i="36"/>
  <c r="K509" i="36"/>
  <c r="K510" i="36"/>
  <c r="K511" i="36"/>
  <c r="K512" i="36"/>
  <c r="K513" i="36"/>
  <c r="K514" i="36"/>
  <c r="K515" i="36"/>
  <c r="K516" i="36"/>
  <c r="K517" i="36"/>
  <c r="K518" i="36"/>
  <c r="K519" i="36"/>
  <c r="K520" i="36"/>
  <c r="K521" i="36"/>
  <c r="K522" i="36"/>
  <c r="K523" i="36"/>
  <c r="K524" i="36"/>
  <c r="K525" i="36"/>
  <c r="K526" i="36"/>
  <c r="K527" i="36"/>
  <c r="K528" i="36"/>
  <c r="K529" i="36"/>
  <c r="K530" i="36"/>
  <c r="K531" i="36"/>
  <c r="K532" i="36"/>
  <c r="K533" i="36"/>
  <c r="K534" i="36"/>
  <c r="K535" i="36"/>
  <c r="K536" i="36"/>
  <c r="K537" i="36"/>
  <c r="K538" i="36"/>
  <c r="K539" i="36"/>
  <c r="K540" i="36"/>
  <c r="K541" i="36"/>
  <c r="K542" i="36"/>
  <c r="K543" i="36"/>
  <c r="K544" i="36"/>
  <c r="K545" i="36"/>
  <c r="K546" i="36"/>
  <c r="K547" i="36"/>
  <c r="K548" i="36"/>
  <c r="K549" i="36"/>
  <c r="K550" i="36"/>
  <c r="K551" i="36"/>
  <c r="K552" i="36"/>
  <c r="K553" i="36"/>
  <c r="K554" i="36"/>
  <c r="K555" i="36"/>
  <c r="K556" i="36"/>
  <c r="K557" i="36"/>
  <c r="K558" i="36"/>
  <c r="K559" i="36"/>
  <c r="K560" i="36"/>
  <c r="K561" i="36"/>
  <c r="K562" i="36"/>
  <c r="K563" i="36"/>
  <c r="K564" i="36"/>
  <c r="K565" i="36"/>
  <c r="K566" i="36"/>
  <c r="K567" i="36"/>
  <c r="K568" i="36"/>
  <c r="K569" i="36"/>
  <c r="K570" i="36"/>
  <c r="K571" i="36"/>
  <c r="K572" i="36"/>
  <c r="K573" i="36"/>
  <c r="K574" i="36"/>
  <c r="K575" i="36"/>
  <c r="K576" i="36"/>
  <c r="K577" i="36"/>
  <c r="K578" i="36"/>
  <c r="K579" i="36"/>
  <c r="K580" i="36"/>
  <c r="K581" i="36"/>
  <c r="K582" i="36"/>
  <c r="K583" i="36"/>
  <c r="K584" i="36"/>
  <c r="K585" i="36"/>
  <c r="K586" i="36"/>
  <c r="K587" i="36"/>
  <c r="K588" i="36"/>
  <c r="K589" i="36"/>
  <c r="K590" i="36"/>
  <c r="K591" i="36"/>
  <c r="K592" i="36"/>
  <c r="K593" i="36"/>
  <c r="K594" i="36"/>
  <c r="K595" i="36"/>
  <c r="K596" i="36"/>
  <c r="K597" i="36"/>
  <c r="K598" i="36"/>
  <c r="K599" i="36"/>
  <c r="K600" i="36"/>
  <c r="K601" i="36"/>
  <c r="K602" i="36"/>
  <c r="K603" i="36"/>
  <c r="K604" i="36"/>
  <c r="K605" i="36"/>
  <c r="K606" i="36"/>
  <c r="K607" i="36"/>
  <c r="K608" i="36"/>
  <c r="K609" i="36"/>
  <c r="K610" i="36"/>
  <c r="K611" i="36"/>
  <c r="K612" i="36"/>
  <c r="K613" i="36"/>
  <c r="K614" i="36"/>
  <c r="K615" i="36"/>
  <c r="K616" i="36"/>
  <c r="K617" i="36"/>
  <c r="K618" i="36"/>
  <c r="K619" i="36"/>
  <c r="K620" i="36"/>
  <c r="K621" i="36"/>
  <c r="K622" i="36"/>
  <c r="K623" i="36"/>
  <c r="K624" i="36"/>
  <c r="K625" i="36"/>
  <c r="K626" i="36"/>
  <c r="K627" i="36"/>
  <c r="K628" i="36"/>
  <c r="K629" i="36"/>
  <c r="K630" i="36"/>
  <c r="K631" i="36"/>
  <c r="K632" i="36"/>
  <c r="K633" i="36"/>
  <c r="K634" i="36"/>
  <c r="K635" i="36"/>
  <c r="K636" i="36"/>
  <c r="K637" i="36"/>
  <c r="K638" i="36"/>
  <c r="K639" i="36"/>
  <c r="K640" i="36"/>
  <c r="K641" i="36"/>
  <c r="K642" i="36"/>
  <c r="K643" i="36"/>
  <c r="K644" i="36"/>
  <c r="K645" i="36"/>
  <c r="K646" i="36"/>
  <c r="K647" i="36"/>
  <c r="K648" i="36"/>
  <c r="K649" i="36"/>
  <c r="K650" i="36"/>
  <c r="K651" i="36"/>
  <c r="K652" i="36"/>
  <c r="K653" i="36"/>
  <c r="K654" i="36"/>
  <c r="K655" i="36"/>
  <c r="K656" i="36"/>
  <c r="K657" i="36"/>
  <c r="K658" i="36"/>
  <c r="K659" i="36"/>
  <c r="K660" i="36"/>
  <c r="K661" i="36"/>
  <c r="K662" i="36"/>
  <c r="K663" i="36"/>
  <c r="K664" i="36"/>
  <c r="K665" i="36"/>
  <c r="K666" i="36"/>
  <c r="K667" i="36"/>
  <c r="K668" i="36"/>
  <c r="K669" i="36"/>
  <c r="K670" i="36"/>
  <c r="K671" i="36"/>
  <c r="K672" i="36"/>
  <c r="K673" i="36"/>
  <c r="K674" i="36"/>
  <c r="K675" i="36"/>
  <c r="K676" i="36"/>
  <c r="K677" i="36"/>
  <c r="K678" i="36"/>
  <c r="K679" i="36"/>
  <c r="K680" i="36"/>
  <c r="K681" i="36"/>
  <c r="K682" i="36"/>
  <c r="K683" i="36"/>
  <c r="K684" i="36"/>
  <c r="K685" i="36"/>
  <c r="K686" i="36"/>
  <c r="K687" i="36"/>
  <c r="K688" i="36"/>
  <c r="K689" i="36"/>
  <c r="K690" i="36"/>
  <c r="K691" i="36"/>
  <c r="K692" i="36"/>
  <c r="K693" i="36"/>
  <c r="K694" i="36"/>
  <c r="K695" i="36"/>
  <c r="K696" i="36"/>
  <c r="K697" i="36"/>
  <c r="K698" i="36"/>
  <c r="K699" i="36"/>
  <c r="K700" i="36"/>
  <c r="K701" i="36"/>
  <c r="K702" i="36"/>
  <c r="K703" i="36"/>
  <c r="K704" i="36"/>
  <c r="K705" i="36"/>
  <c r="K717" i="36"/>
  <c r="K718" i="36"/>
  <c r="K719" i="36"/>
  <c r="K720" i="36"/>
  <c r="K721" i="36"/>
  <c r="K722" i="36"/>
  <c r="K723" i="36"/>
  <c r="K724" i="36"/>
  <c r="K725" i="36"/>
  <c r="K726" i="36"/>
  <c r="K727" i="36"/>
  <c r="K728" i="36"/>
  <c r="K729" i="36"/>
  <c r="K730" i="36"/>
  <c r="K731" i="36"/>
  <c r="K732" i="36"/>
  <c r="K733" i="36"/>
  <c r="K734" i="36"/>
  <c r="K735" i="36"/>
  <c r="K736" i="36"/>
  <c r="K737" i="36"/>
  <c r="K738" i="36"/>
  <c r="K739" i="36"/>
  <c r="K740" i="36"/>
  <c r="K741" i="36"/>
  <c r="K742" i="36"/>
  <c r="K743" i="36"/>
  <c r="K744" i="36"/>
  <c r="K745" i="36"/>
  <c r="K746" i="36"/>
  <c r="K747" i="36"/>
  <c r="K748" i="36"/>
  <c r="K749" i="36"/>
  <c r="K750" i="36"/>
  <c r="K751" i="36"/>
  <c r="K752" i="36"/>
  <c r="K753" i="36"/>
  <c r="K754" i="36"/>
  <c r="K755" i="36"/>
  <c r="K756" i="36"/>
  <c r="K757" i="36"/>
  <c r="K758" i="36"/>
  <c r="K759" i="36"/>
  <c r="K760" i="36"/>
  <c r="K761" i="36"/>
  <c r="K762" i="36"/>
  <c r="K763" i="36"/>
  <c r="K764" i="36"/>
  <c r="K765" i="36"/>
  <c r="K766" i="36"/>
  <c r="K767" i="36"/>
  <c r="K768" i="36"/>
  <c r="K769" i="36"/>
  <c r="K770" i="36"/>
  <c r="K771" i="36"/>
  <c r="K772" i="36"/>
  <c r="K773" i="36"/>
  <c r="K774" i="36"/>
  <c r="K775" i="36"/>
  <c r="K776" i="36"/>
  <c r="K777" i="36"/>
  <c r="K778" i="36"/>
  <c r="K779" i="36"/>
  <c r="K780" i="36"/>
  <c r="K781" i="36"/>
  <c r="K782" i="36"/>
  <c r="K783" i="36"/>
  <c r="K784" i="36"/>
  <c r="K785" i="36"/>
  <c r="K786" i="36"/>
  <c r="K787" i="36"/>
  <c r="K788" i="36"/>
  <c r="K789" i="36"/>
  <c r="K790" i="36"/>
  <c r="K791" i="36"/>
  <c r="K792" i="36"/>
  <c r="K793" i="36"/>
  <c r="K794" i="36"/>
  <c r="K795" i="36"/>
  <c r="K796" i="36"/>
  <c r="K797" i="36"/>
  <c r="K798" i="36"/>
  <c r="K799" i="36"/>
  <c r="K800" i="36"/>
  <c r="K801" i="36"/>
  <c r="K802" i="36"/>
  <c r="K803" i="36"/>
  <c r="K804" i="36"/>
  <c r="K805" i="36"/>
  <c r="K806" i="36"/>
  <c r="K807" i="36"/>
  <c r="K808" i="36"/>
  <c r="K809" i="36"/>
  <c r="K810" i="36"/>
  <c r="K811" i="36"/>
  <c r="K812" i="36"/>
  <c r="K813" i="36"/>
  <c r="K814" i="36"/>
  <c r="K815" i="36"/>
  <c r="K816" i="36"/>
  <c r="K817" i="36"/>
  <c r="K818" i="36"/>
  <c r="K819" i="36"/>
  <c r="K820" i="36"/>
  <c r="K821" i="36"/>
  <c r="K822" i="36"/>
  <c r="K823" i="36"/>
  <c r="K824" i="36"/>
  <c r="K825" i="36"/>
  <c r="K826" i="36"/>
  <c r="K827" i="36"/>
  <c r="K828" i="36"/>
  <c r="K829" i="36"/>
  <c r="K830" i="36"/>
  <c r="K831" i="36"/>
  <c r="K832" i="36"/>
  <c r="K833" i="36"/>
  <c r="K834" i="36"/>
  <c r="K835" i="36"/>
  <c r="K836" i="36"/>
  <c r="K837" i="36"/>
  <c r="K838" i="36"/>
  <c r="K839" i="36"/>
  <c r="K840" i="36"/>
  <c r="K841" i="36"/>
  <c r="K842" i="36"/>
  <c r="K843" i="36"/>
  <c r="K844" i="36"/>
  <c r="K845" i="36"/>
  <c r="K846" i="36"/>
  <c r="K847" i="36"/>
  <c r="K848" i="36"/>
  <c r="K849" i="36"/>
  <c r="K850" i="36"/>
  <c r="K851" i="36"/>
  <c r="K852" i="36"/>
  <c r="K853" i="36"/>
  <c r="K854" i="36"/>
  <c r="K855" i="36"/>
  <c r="K856" i="36"/>
  <c r="K857" i="36"/>
  <c r="K858" i="36"/>
  <c r="K859" i="36"/>
  <c r="K860" i="36"/>
  <c r="K861" i="36"/>
  <c r="K862" i="36"/>
  <c r="K863" i="36"/>
  <c r="K864" i="36"/>
  <c r="K865" i="36"/>
  <c r="K866" i="36"/>
  <c r="K867" i="36"/>
  <c r="K868" i="36"/>
  <c r="K869" i="36"/>
  <c r="K870" i="36"/>
  <c r="K871" i="36"/>
  <c r="K872" i="36"/>
  <c r="K873" i="36"/>
  <c r="K874" i="36"/>
  <c r="K875" i="36"/>
  <c r="K876" i="36"/>
  <c r="K877" i="36"/>
  <c r="K878" i="36"/>
  <c r="K879" i="36"/>
  <c r="K880" i="36"/>
  <c r="K881" i="36"/>
  <c r="K882" i="36"/>
  <c r="K883" i="36"/>
  <c r="K884" i="36"/>
  <c r="K885" i="36"/>
  <c r="K886" i="36"/>
  <c r="K887" i="36"/>
  <c r="K888" i="36"/>
  <c r="K889" i="36"/>
  <c r="K890" i="36"/>
  <c r="K891" i="36"/>
  <c r="K892" i="36"/>
  <c r="K904" i="36"/>
  <c r="K905" i="36"/>
  <c r="K906" i="36"/>
  <c r="K907" i="36"/>
  <c r="K908" i="36"/>
  <c r="K909" i="36"/>
  <c r="K910" i="36"/>
  <c r="K911" i="36"/>
  <c r="K912" i="36"/>
  <c r="K913" i="36"/>
  <c r="K914" i="36"/>
  <c r="K915" i="36"/>
  <c r="K916" i="36"/>
  <c r="K917" i="36"/>
  <c r="K918" i="36"/>
  <c r="K919" i="36"/>
  <c r="K920" i="36"/>
  <c r="K921" i="36"/>
  <c r="K922" i="36"/>
  <c r="K923" i="36"/>
  <c r="K924" i="36"/>
  <c r="K925" i="36"/>
  <c r="K926" i="36"/>
  <c r="K927" i="36"/>
  <c r="K928" i="36"/>
  <c r="K929" i="36"/>
  <c r="K930" i="36"/>
  <c r="K931" i="36"/>
  <c r="K932" i="36"/>
  <c r="K933" i="36"/>
  <c r="K934" i="36"/>
  <c r="K935" i="36"/>
  <c r="K936" i="36"/>
  <c r="K937" i="36"/>
  <c r="K938" i="36"/>
  <c r="K939" i="36"/>
  <c r="K940" i="36"/>
  <c r="K941" i="36"/>
  <c r="K942" i="36"/>
  <c r="K943" i="36"/>
  <c r="K944" i="36"/>
  <c r="K945" i="36"/>
  <c r="K946" i="36"/>
  <c r="K947" i="36"/>
  <c r="K948" i="36"/>
  <c r="K949" i="36"/>
  <c r="K950" i="36"/>
  <c r="K951" i="36"/>
  <c r="K952" i="36"/>
  <c r="K953" i="36"/>
  <c r="K954" i="36"/>
  <c r="K955" i="36"/>
  <c r="K956" i="36"/>
  <c r="K957" i="36"/>
  <c r="K958" i="36"/>
  <c r="K959" i="36"/>
  <c r="K960" i="36"/>
  <c r="K961" i="36"/>
  <c r="K962" i="36"/>
  <c r="K963" i="36"/>
  <c r="K964" i="36"/>
  <c r="K965" i="36"/>
  <c r="K966" i="36"/>
  <c r="K967" i="36"/>
  <c r="K968" i="36"/>
  <c r="K969" i="36"/>
  <c r="K970" i="36"/>
  <c r="K971" i="36"/>
  <c r="K972" i="36"/>
  <c r="K973" i="36"/>
  <c r="K974" i="36"/>
  <c r="K975" i="36"/>
  <c r="K976" i="36"/>
  <c r="K977" i="36"/>
  <c r="K978" i="36"/>
  <c r="K979" i="36"/>
  <c r="K980" i="36"/>
  <c r="K981" i="36"/>
  <c r="K982" i="36"/>
  <c r="K983" i="36"/>
  <c r="K984" i="36"/>
  <c r="K985" i="36"/>
  <c r="K986" i="36"/>
  <c r="K987" i="36"/>
  <c r="K988" i="36"/>
  <c r="K989" i="36"/>
  <c r="K990" i="36"/>
  <c r="K991" i="36"/>
  <c r="K992" i="36"/>
  <c r="K993" i="36"/>
  <c r="K994" i="36"/>
  <c r="K995" i="36"/>
  <c r="K996" i="36"/>
  <c r="K997" i="36"/>
  <c r="K998" i="36"/>
  <c r="K999" i="36"/>
  <c r="K1000" i="36"/>
  <c r="K1001" i="36"/>
  <c r="K1002" i="36"/>
  <c r="K1003" i="36"/>
  <c r="K1004" i="36"/>
  <c r="K1005" i="36"/>
  <c r="K1006" i="36"/>
  <c r="K1007" i="36"/>
  <c r="K1008" i="36"/>
  <c r="K1009" i="36"/>
  <c r="K1010" i="36"/>
  <c r="K1011" i="36"/>
  <c r="K1012" i="36"/>
  <c r="K1013" i="36"/>
  <c r="K1014" i="36"/>
  <c r="K1015" i="36"/>
  <c r="K1016" i="36"/>
  <c r="K1017" i="36"/>
  <c r="K1018" i="36"/>
  <c r="K1019" i="36"/>
  <c r="K1020" i="36"/>
  <c r="K1021" i="36"/>
  <c r="K1022" i="36"/>
  <c r="K1023" i="36"/>
  <c r="K1024" i="36"/>
  <c r="K1025" i="36"/>
  <c r="K1026" i="36"/>
  <c r="K1027" i="36"/>
  <c r="K1028" i="36"/>
  <c r="K1029" i="36"/>
  <c r="K1030" i="36"/>
  <c r="K1031" i="36"/>
  <c r="K1032" i="36"/>
  <c r="K1033" i="36"/>
  <c r="K1034" i="36"/>
  <c r="K1035" i="36"/>
  <c r="K1036" i="36"/>
  <c r="K1037" i="36"/>
  <c r="K1038" i="36"/>
  <c r="K1039" i="36"/>
  <c r="K1040" i="36"/>
  <c r="K1041" i="36"/>
  <c r="K1042" i="36"/>
  <c r="K1043" i="36"/>
  <c r="K1044" i="36"/>
  <c r="K1045" i="36"/>
  <c r="K1046" i="36"/>
  <c r="K2" i="36"/>
  <c r="I156" i="36"/>
  <c r="I157" i="36"/>
  <c r="I158" i="36"/>
  <c r="I159" i="36"/>
  <c r="I160" i="36"/>
  <c r="I161" i="36"/>
  <c r="I162" i="36"/>
  <c r="I163" i="36"/>
  <c r="I164" i="36"/>
  <c r="I165" i="36"/>
  <c r="I166" i="36"/>
  <c r="I178" i="36"/>
  <c r="I179" i="36"/>
  <c r="I180" i="36"/>
  <c r="I181" i="36"/>
  <c r="I182" i="36"/>
  <c r="I183" i="36"/>
  <c r="I184" i="36"/>
  <c r="I185" i="36"/>
  <c r="I186" i="36"/>
  <c r="I187" i="36"/>
  <c r="I188" i="36"/>
  <c r="I211" i="36"/>
  <c r="I212" i="36"/>
  <c r="I213" i="36"/>
  <c r="I214" i="36"/>
  <c r="I215" i="36"/>
  <c r="I216" i="36"/>
  <c r="I217" i="36"/>
  <c r="I218" i="36"/>
  <c r="I219" i="36"/>
  <c r="I220" i="36"/>
  <c r="I221" i="36"/>
  <c r="I233" i="36"/>
  <c r="I234" i="36"/>
  <c r="I235" i="36"/>
  <c r="I236" i="36"/>
  <c r="I237" i="36"/>
  <c r="I238" i="36"/>
  <c r="I239" i="36"/>
  <c r="I240" i="36"/>
  <c r="I241" i="36"/>
  <c r="I242" i="36"/>
  <c r="I243" i="36"/>
  <c r="I299" i="36"/>
  <c r="I300" i="36"/>
  <c r="I301" i="36"/>
  <c r="I302" i="36"/>
  <c r="I303" i="36"/>
  <c r="I304" i="36"/>
  <c r="I305" i="36"/>
  <c r="I306" i="36"/>
  <c r="I307" i="36"/>
  <c r="I308" i="36"/>
  <c r="I309" i="36"/>
  <c r="I310" i="36"/>
  <c r="I311" i="36"/>
  <c r="I312" i="36"/>
  <c r="I313" i="36"/>
  <c r="I314" i="36"/>
  <c r="I315" i="36"/>
  <c r="I316" i="36"/>
  <c r="I317" i="36"/>
  <c r="I318" i="36"/>
  <c r="I319" i="36"/>
  <c r="I320" i="36"/>
  <c r="I332" i="36"/>
  <c r="I333" i="36"/>
  <c r="I334" i="36"/>
  <c r="I335" i="36"/>
  <c r="I336" i="36"/>
  <c r="I337" i="36"/>
  <c r="I338" i="36"/>
  <c r="I339" i="36"/>
  <c r="I340" i="36"/>
  <c r="I341" i="36"/>
  <c r="I342" i="36"/>
  <c r="I343" i="36"/>
  <c r="I344" i="36"/>
  <c r="I345" i="36"/>
  <c r="I346" i="36"/>
  <c r="I347" i="36"/>
  <c r="I348" i="36"/>
  <c r="I349" i="36"/>
  <c r="I350" i="36"/>
  <c r="I351" i="36"/>
  <c r="I352" i="36"/>
  <c r="I353" i="36"/>
  <c r="I387" i="36"/>
  <c r="I388" i="36"/>
  <c r="I389" i="36"/>
  <c r="I390" i="36"/>
  <c r="I391" i="36"/>
  <c r="I392" i="36"/>
  <c r="I393" i="36"/>
  <c r="I394" i="36"/>
  <c r="I395" i="36"/>
  <c r="I396" i="36"/>
  <c r="I397" i="36"/>
  <c r="I409" i="36"/>
  <c r="I410" i="36"/>
  <c r="I411" i="36"/>
  <c r="I412" i="36"/>
  <c r="I413" i="36"/>
  <c r="I414" i="36"/>
  <c r="I415" i="36"/>
  <c r="I416" i="36"/>
  <c r="I417" i="36"/>
  <c r="I418" i="36"/>
  <c r="I419" i="36"/>
  <c r="I431" i="36"/>
  <c r="I432" i="36"/>
  <c r="I433" i="36"/>
  <c r="I434" i="36"/>
  <c r="I435" i="36"/>
  <c r="I436" i="36"/>
  <c r="I437" i="36"/>
  <c r="I438" i="36"/>
  <c r="I439" i="36"/>
  <c r="I440" i="36"/>
  <c r="I441" i="36"/>
  <c r="I442" i="36"/>
  <c r="I443" i="36"/>
  <c r="I444" i="36"/>
  <c r="I445" i="36"/>
  <c r="I446" i="36"/>
  <c r="I447" i="36"/>
  <c r="I448" i="36"/>
  <c r="I449" i="36"/>
  <c r="I450" i="36"/>
  <c r="I451" i="36"/>
  <c r="I452" i="36"/>
  <c r="I486" i="36"/>
  <c r="I487" i="36"/>
  <c r="I488" i="36"/>
  <c r="I489" i="36"/>
  <c r="I490" i="36"/>
  <c r="I491" i="36"/>
  <c r="I492" i="36"/>
  <c r="I493" i="36"/>
  <c r="I494" i="36"/>
  <c r="I495" i="36"/>
  <c r="I496" i="36"/>
  <c r="I508" i="36"/>
  <c r="I509" i="36"/>
  <c r="I510" i="36"/>
  <c r="I511" i="36"/>
  <c r="I512" i="36"/>
  <c r="I513" i="36"/>
  <c r="I514" i="36"/>
  <c r="I515" i="36"/>
  <c r="I516" i="36"/>
  <c r="I517" i="36"/>
  <c r="I518" i="36"/>
  <c r="I541" i="36"/>
  <c r="I542" i="36"/>
  <c r="I543" i="36"/>
  <c r="I544" i="36"/>
  <c r="I545" i="36"/>
  <c r="I546" i="36"/>
  <c r="I547" i="36"/>
  <c r="I548" i="36"/>
  <c r="I549" i="36"/>
  <c r="I550" i="36"/>
  <c r="I551" i="36"/>
  <c r="I552" i="36"/>
  <c r="I553" i="36"/>
  <c r="I554" i="36"/>
  <c r="I555" i="36"/>
  <c r="I556" i="36"/>
  <c r="I557" i="36"/>
  <c r="I558" i="36"/>
  <c r="I559" i="36"/>
  <c r="I560" i="36"/>
  <c r="I561" i="36"/>
  <c r="I562" i="36"/>
  <c r="I563" i="36"/>
  <c r="I564" i="36"/>
  <c r="I565" i="36"/>
  <c r="I566" i="36"/>
  <c r="I567" i="36"/>
  <c r="I568" i="36"/>
  <c r="I569" i="36"/>
  <c r="I570" i="36"/>
  <c r="I571" i="36"/>
  <c r="I572" i="36"/>
  <c r="I573" i="36"/>
  <c r="I585" i="36"/>
  <c r="I586" i="36"/>
  <c r="I587" i="36"/>
  <c r="I588" i="36"/>
  <c r="I589" i="36"/>
  <c r="I590" i="36"/>
  <c r="I591" i="36"/>
  <c r="I592" i="36"/>
  <c r="I593" i="36"/>
  <c r="I594" i="36"/>
  <c r="I595" i="36"/>
  <c r="I618" i="36"/>
  <c r="I619" i="36"/>
  <c r="I620" i="36"/>
  <c r="I621" i="36"/>
  <c r="I622" i="36"/>
  <c r="I623" i="36"/>
  <c r="I624" i="36"/>
  <c r="I625" i="36"/>
  <c r="I626" i="36"/>
  <c r="I627" i="36"/>
  <c r="I628" i="36"/>
  <c r="I640" i="36"/>
  <c r="I641" i="36"/>
  <c r="I642" i="36"/>
  <c r="I643" i="36"/>
  <c r="I644" i="36"/>
  <c r="I645" i="36"/>
  <c r="I646" i="36"/>
  <c r="I647" i="36"/>
  <c r="I648" i="36"/>
  <c r="I649" i="36"/>
  <c r="I650" i="36"/>
  <c r="I673" i="36"/>
  <c r="I674" i="36"/>
  <c r="I675" i="36"/>
  <c r="I676" i="36"/>
  <c r="I677" i="36"/>
  <c r="I678" i="36"/>
  <c r="I679" i="36"/>
  <c r="I680" i="36"/>
  <c r="I681" i="36"/>
  <c r="I682" i="36"/>
  <c r="I683" i="36"/>
  <c r="I717" i="36"/>
  <c r="I718" i="36"/>
  <c r="I719" i="36"/>
  <c r="I720" i="36"/>
  <c r="I721" i="36"/>
  <c r="I722" i="36"/>
  <c r="I723" i="36"/>
  <c r="I724" i="36"/>
  <c r="I725" i="36"/>
  <c r="I726" i="36"/>
  <c r="I727" i="36"/>
  <c r="I739" i="36"/>
  <c r="I740" i="36"/>
  <c r="I741" i="36"/>
  <c r="I742" i="36"/>
  <c r="I743" i="36"/>
  <c r="I744" i="36"/>
  <c r="I745" i="36"/>
  <c r="I746" i="36"/>
  <c r="I747" i="36"/>
  <c r="I748" i="36"/>
  <c r="I749" i="36"/>
  <c r="I761" i="36"/>
  <c r="I762" i="36"/>
  <c r="I763" i="36"/>
  <c r="I764" i="36"/>
  <c r="I765" i="36"/>
  <c r="I766" i="36"/>
  <c r="I767" i="36"/>
  <c r="I768" i="36"/>
  <c r="I769" i="36"/>
  <c r="I770" i="36"/>
  <c r="I771" i="36"/>
  <c r="I783" i="36"/>
  <c r="I784" i="36"/>
  <c r="I785" i="36"/>
  <c r="I786" i="36"/>
  <c r="I787" i="36"/>
  <c r="I788" i="36"/>
  <c r="I789" i="36"/>
  <c r="I790" i="36"/>
  <c r="I791" i="36"/>
  <c r="I792" i="36"/>
  <c r="I793" i="36"/>
  <c r="I794" i="36"/>
  <c r="I795" i="36"/>
  <c r="I796" i="36"/>
  <c r="I797" i="36"/>
  <c r="I798" i="36"/>
  <c r="I799" i="36"/>
  <c r="I800" i="36"/>
  <c r="I801" i="36"/>
  <c r="I802" i="36"/>
  <c r="I803" i="36"/>
  <c r="I804" i="36"/>
  <c r="I805" i="36"/>
  <c r="I806" i="36"/>
  <c r="I807" i="36"/>
  <c r="I808" i="36"/>
  <c r="I809" i="36"/>
  <c r="I810" i="36"/>
  <c r="I811" i="36"/>
  <c r="I812" i="36"/>
  <c r="I813" i="36"/>
  <c r="I814" i="36"/>
  <c r="I815" i="36"/>
  <c r="I816" i="36"/>
  <c r="I817" i="36"/>
  <c r="I818" i="36"/>
  <c r="I819" i="36"/>
  <c r="I820" i="36"/>
  <c r="I821" i="36"/>
  <c r="I822" i="36"/>
  <c r="I823" i="36"/>
  <c r="I824" i="36"/>
  <c r="I825" i="36"/>
  <c r="I826" i="36"/>
  <c r="I838" i="36"/>
  <c r="I839" i="36"/>
  <c r="I840" i="36"/>
  <c r="I841" i="36"/>
  <c r="I842" i="36"/>
  <c r="I843" i="36"/>
  <c r="I844" i="36"/>
  <c r="I845" i="36"/>
  <c r="I846" i="36"/>
  <c r="I847" i="36"/>
  <c r="I848" i="36"/>
  <c r="I860" i="36"/>
  <c r="I861" i="36"/>
  <c r="I862" i="36"/>
  <c r="I863" i="36"/>
  <c r="I864" i="36"/>
  <c r="I865" i="36"/>
  <c r="I866" i="36"/>
  <c r="I867" i="36"/>
  <c r="I868" i="36"/>
  <c r="I869" i="36"/>
  <c r="I870" i="36"/>
  <c r="I893" i="36"/>
  <c r="I894" i="36"/>
  <c r="I895" i="36"/>
  <c r="I896" i="36"/>
  <c r="I897" i="36"/>
  <c r="I898" i="36"/>
  <c r="I899" i="36"/>
  <c r="I900" i="36"/>
  <c r="I901" i="36"/>
  <c r="I902" i="36"/>
  <c r="I903" i="36"/>
  <c r="I904" i="36"/>
  <c r="I905" i="36"/>
  <c r="I906" i="36"/>
  <c r="I907" i="36"/>
  <c r="I908" i="36"/>
  <c r="I909" i="36"/>
  <c r="I910" i="36"/>
  <c r="I911" i="36"/>
  <c r="I912" i="36"/>
  <c r="I913" i="36"/>
  <c r="I914" i="36"/>
  <c r="I948" i="36"/>
  <c r="I949" i="36"/>
  <c r="I950" i="36"/>
  <c r="I951" i="36"/>
  <c r="I952" i="36"/>
  <c r="I953" i="36"/>
  <c r="I954" i="36"/>
  <c r="I955" i="36"/>
  <c r="I956" i="36"/>
  <c r="I957" i="36"/>
  <c r="I958" i="36"/>
  <c r="I959" i="36"/>
  <c r="I960" i="36"/>
  <c r="I961" i="36"/>
  <c r="I962" i="36"/>
  <c r="I963" i="36"/>
  <c r="I964" i="36"/>
  <c r="I965" i="36"/>
  <c r="I966" i="36"/>
  <c r="I967" i="36"/>
  <c r="I968" i="36"/>
  <c r="I969" i="36"/>
  <c r="I970" i="36"/>
  <c r="I971" i="36"/>
  <c r="I972" i="36"/>
  <c r="I973" i="36"/>
  <c r="I974" i="36"/>
  <c r="I975" i="36"/>
  <c r="I976" i="36"/>
  <c r="I977" i="36"/>
  <c r="I978" i="36"/>
  <c r="I979" i="36"/>
  <c r="I980" i="36"/>
  <c r="I992" i="36"/>
  <c r="I993" i="36"/>
  <c r="I994" i="36"/>
  <c r="I995" i="36"/>
  <c r="I996" i="36"/>
  <c r="I997" i="36"/>
  <c r="I998" i="36"/>
  <c r="I999" i="36"/>
  <c r="I1000" i="36"/>
  <c r="I1001" i="36"/>
  <c r="I1002" i="36"/>
  <c r="I1025" i="36"/>
  <c r="I1026" i="36"/>
  <c r="I1027" i="36"/>
  <c r="I1028" i="36"/>
  <c r="I1029" i="36"/>
  <c r="I1030" i="36"/>
  <c r="I1031" i="36"/>
  <c r="I1032" i="36"/>
  <c r="I1033" i="36"/>
  <c r="I1034" i="36"/>
  <c r="I1035" i="36"/>
  <c r="P4" i="22"/>
  <c r="T4" i="22"/>
  <c r="U4" i="22"/>
  <c r="V4" i="22"/>
  <c r="J4" i="22"/>
  <c r="J217" i="35" s="1"/>
  <c r="J3" i="22"/>
  <c r="J225" i="35" s="1"/>
  <c r="P654" i="36" s="1"/>
  <c r="J6" i="22"/>
  <c r="J3" i="35" s="1"/>
  <c r="P1233" i="36" s="1"/>
  <c r="J17" i="22"/>
  <c r="J60" i="35" s="1"/>
  <c r="P247" i="36" s="1"/>
  <c r="J359" i="35"/>
  <c r="J8" i="22"/>
  <c r="J291" i="35" s="1"/>
  <c r="J11" i="22"/>
  <c r="J235" i="35" s="1"/>
  <c r="J9" i="22"/>
  <c r="J192" i="35" s="1"/>
  <c r="P1224" i="36" s="1"/>
  <c r="J10" i="22"/>
  <c r="J377" i="35" s="1"/>
  <c r="J12" i="22"/>
  <c r="J323" i="35" s="1"/>
  <c r="J50" i="22"/>
  <c r="J485" i="35" s="1"/>
  <c r="J51" i="22"/>
  <c r="J315" i="35" s="1"/>
  <c r="P623" i="36" s="1"/>
  <c r="J52" i="22"/>
  <c r="J461" i="35" s="1"/>
  <c r="J13" i="22"/>
  <c r="J154" i="35" s="1"/>
  <c r="J15" i="22"/>
  <c r="J369" i="35" s="1"/>
  <c r="J5" i="22"/>
  <c r="J575" i="35" s="1"/>
  <c r="P872" i="36" s="1"/>
  <c r="J533" i="35"/>
  <c r="P885" i="36" s="1"/>
  <c r="J16" i="22"/>
  <c r="J524" i="35" s="1"/>
  <c r="P392" i="36" s="1"/>
  <c r="J18" i="22"/>
  <c r="J269" i="35" s="1"/>
  <c r="J41" i="22"/>
  <c r="J491" i="35" s="1"/>
  <c r="J19" i="22"/>
  <c r="J249" i="35" s="1"/>
  <c r="J20" i="22"/>
  <c r="J257" i="35" s="1"/>
  <c r="J21" i="22"/>
  <c r="J54" i="35" s="1"/>
  <c r="P1153" i="36" s="1"/>
  <c r="J23" i="22"/>
  <c r="J208" i="35" s="1"/>
  <c r="J24" i="22"/>
  <c r="J93" i="35" s="1"/>
  <c r="J31" i="22"/>
  <c r="J287" i="35" s="1"/>
  <c r="J32" i="22"/>
  <c r="J401" i="35" s="1"/>
  <c r="P610" i="36" s="1"/>
  <c r="J43" i="22"/>
  <c r="J470" i="35" s="1"/>
  <c r="J45" i="22"/>
  <c r="J447" i="35" s="1"/>
  <c r="J44" i="22"/>
  <c r="J437" i="35" s="1"/>
  <c r="J27" i="22"/>
  <c r="J393" i="35" s="1"/>
  <c r="J28" i="22"/>
  <c r="J184" i="35" s="1"/>
  <c r="P778" i="36" s="1"/>
  <c r="J29" i="22"/>
  <c r="J511" i="35" s="1"/>
  <c r="J30" i="22"/>
  <c r="J343" i="35" s="1"/>
  <c r="J37" i="22"/>
  <c r="J110" i="35" s="1"/>
  <c r="P858" i="36" s="1"/>
  <c r="J38" i="22"/>
  <c r="J119" i="35" s="1"/>
  <c r="P933" i="36" s="1"/>
  <c r="J39" i="22"/>
  <c r="J124" i="35" s="1"/>
  <c r="P938" i="36" s="1"/>
  <c r="J49" i="22"/>
  <c r="J618" i="35" s="1"/>
  <c r="P1111" i="36" s="1"/>
  <c r="J48" i="22"/>
  <c r="J81" i="35" s="1"/>
  <c r="J46" i="22"/>
  <c r="J507" i="35" s="1"/>
  <c r="J47" i="22"/>
  <c r="J425" i="35" s="1"/>
  <c r="P227" i="36" s="1"/>
  <c r="J33" i="22"/>
  <c r="J136" i="35" s="1"/>
  <c r="P59" i="36" s="1"/>
  <c r="J34" i="22"/>
  <c r="J25" i="35" s="1"/>
  <c r="J35" i="22"/>
  <c r="J15" i="35" s="1"/>
  <c r="J36" i="22"/>
  <c r="J169" i="35" s="1"/>
  <c r="J40" i="22"/>
  <c r="J307" i="35" s="1"/>
  <c r="J53" i="22"/>
  <c r="J70" i="35" s="1"/>
  <c r="J59" i="22"/>
  <c r="J54" i="22"/>
  <c r="J60" i="22"/>
  <c r="J61" i="22"/>
  <c r="J55" i="22"/>
  <c r="J62" i="22"/>
  <c r="J63" i="22"/>
  <c r="J64" i="22"/>
  <c r="J2" i="22"/>
  <c r="J41" i="35" s="1"/>
  <c r="L221" i="35"/>
  <c r="J158" i="35"/>
  <c r="J162" i="35"/>
  <c r="J166" i="35"/>
  <c r="J156" i="35"/>
  <c r="P112" i="36" s="1"/>
  <c r="J160" i="35"/>
  <c r="J164" i="35"/>
  <c r="J157" i="35"/>
  <c r="J165" i="35"/>
  <c r="J161" i="35"/>
  <c r="J163" i="35"/>
  <c r="J159" i="35"/>
  <c r="J409" i="35"/>
  <c r="J413" i="35"/>
  <c r="J417" i="35"/>
  <c r="J411" i="35"/>
  <c r="J415" i="35"/>
  <c r="P96" i="36" s="1"/>
  <c r="J419" i="35"/>
  <c r="P100" i="36" s="1"/>
  <c r="J412" i="35"/>
  <c r="P93" i="36" s="1"/>
  <c r="J416" i="35"/>
  <c r="J410" i="35"/>
  <c r="J414" i="35"/>
  <c r="J418" i="35"/>
  <c r="J563" i="35"/>
  <c r="J566" i="35"/>
  <c r="J570" i="35"/>
  <c r="J573" i="35"/>
  <c r="J568" i="35"/>
  <c r="J572" i="35"/>
  <c r="J569" i="35"/>
  <c r="J565" i="35"/>
  <c r="J564" i="35"/>
  <c r="J567" i="35"/>
  <c r="J571" i="35"/>
  <c r="J4" i="35"/>
  <c r="P1234" i="36" s="1"/>
  <c r="T3" i="22"/>
  <c r="T6" i="22"/>
  <c r="T17" i="22"/>
  <c r="T7" i="22"/>
  <c r="T8" i="22"/>
  <c r="T11" i="22"/>
  <c r="T9" i="22"/>
  <c r="T10" i="22"/>
  <c r="T12" i="22"/>
  <c r="T50" i="22"/>
  <c r="T51" i="22"/>
  <c r="T52" i="22"/>
  <c r="T13" i="22"/>
  <c r="T15" i="22"/>
  <c r="T5" i="22"/>
  <c r="T14" i="22"/>
  <c r="T16" i="22"/>
  <c r="T18" i="22"/>
  <c r="T41" i="22"/>
  <c r="T42" i="22"/>
  <c r="T19" i="22"/>
  <c r="T20" i="22"/>
  <c r="T21" i="22"/>
  <c r="T22" i="22"/>
  <c r="T23" i="22"/>
  <c r="T24" i="22"/>
  <c r="T31" i="22"/>
  <c r="T32" i="22"/>
  <c r="T43" i="22"/>
  <c r="T45" i="22"/>
  <c r="T44" i="22"/>
  <c r="T26" i="22"/>
  <c r="T27" i="22"/>
  <c r="T28" i="22"/>
  <c r="T29" i="22"/>
  <c r="T30" i="22"/>
  <c r="T37" i="22"/>
  <c r="T38" i="22"/>
  <c r="T39" i="22"/>
  <c r="T49" i="22"/>
  <c r="T48" i="22"/>
  <c r="T46" i="22"/>
  <c r="T47" i="22"/>
  <c r="T33" i="22"/>
  <c r="T34" i="22"/>
  <c r="T35" i="22"/>
  <c r="T36" i="22"/>
  <c r="T40" i="22"/>
  <c r="T53" i="22"/>
  <c r="T59" i="22"/>
  <c r="T54" i="22"/>
  <c r="T60" i="22"/>
  <c r="T61" i="22"/>
  <c r="T55" i="22"/>
  <c r="T58" i="22"/>
  <c r="T62" i="22"/>
  <c r="T63" i="22"/>
  <c r="T64" i="22"/>
  <c r="T2" i="22"/>
  <c r="L82" i="35"/>
  <c r="L86" i="35"/>
  <c r="L79" i="35"/>
  <c r="L83" i="35"/>
  <c r="L87" i="35"/>
  <c r="L80" i="35"/>
  <c r="L84" i="35"/>
  <c r="L88" i="35"/>
  <c r="L81" i="35"/>
  <c r="L89" i="35"/>
  <c r="L85" i="35"/>
  <c r="L323" i="35"/>
  <c r="L327" i="35"/>
  <c r="L331" i="35"/>
  <c r="L324" i="35"/>
  <c r="L329" i="35"/>
  <c r="L321" i="35"/>
  <c r="L326" i="35"/>
  <c r="L328" i="35"/>
  <c r="L330" i="35"/>
  <c r="L325" i="35"/>
  <c r="L322" i="35"/>
  <c r="L157" i="35"/>
  <c r="L311" i="35"/>
  <c r="L315" i="35"/>
  <c r="L319" i="35"/>
  <c r="L313" i="35"/>
  <c r="L318" i="35"/>
  <c r="L310" i="35"/>
  <c r="L316" i="35"/>
  <c r="L317" i="35"/>
  <c r="L320" i="35"/>
  <c r="L314" i="35"/>
  <c r="L312" i="35"/>
  <c r="L183" i="35"/>
  <c r="L256" i="35"/>
  <c r="L368" i="35"/>
  <c r="L372" i="35"/>
  <c r="L366" i="35"/>
  <c r="L370" i="35"/>
  <c r="L374" i="35"/>
  <c r="L371" i="35"/>
  <c r="L365" i="35"/>
  <c r="L373" i="35"/>
  <c r="L369" i="35"/>
  <c r="L367" i="35"/>
  <c r="L375" i="35"/>
  <c r="L3" i="35"/>
  <c r="C61" i="21"/>
  <c r="B61" i="21"/>
  <c r="B79" i="21" s="1"/>
  <c r="F62" i="21"/>
  <c r="F63" i="21" s="1"/>
  <c r="B62" i="21"/>
  <c r="U38" i="22"/>
  <c r="V38" i="22"/>
  <c r="U39" i="22"/>
  <c r="V39" i="22"/>
  <c r="P38" i="22"/>
  <c r="P39" i="22"/>
  <c r="U31" i="22"/>
  <c r="V31" i="22"/>
  <c r="U32" i="22"/>
  <c r="V32" i="22"/>
  <c r="P32" i="22"/>
  <c r="Q32" i="22"/>
  <c r="U35" i="22"/>
  <c r="V35" i="22"/>
  <c r="P35" i="22"/>
  <c r="U30" i="22"/>
  <c r="V30" i="22"/>
  <c r="P30" i="22"/>
  <c r="Q30" i="22"/>
  <c r="U20" i="22"/>
  <c r="V20" i="22"/>
  <c r="P20" i="22"/>
  <c r="C39" i="21"/>
  <c r="D39" i="21"/>
  <c r="E39" i="21"/>
  <c r="F39" i="21"/>
  <c r="G39" i="21"/>
  <c r="H39" i="21"/>
  <c r="I39" i="21"/>
  <c r="J39" i="21"/>
  <c r="K39" i="21"/>
  <c r="L39" i="21"/>
  <c r="I271" i="36" s="1"/>
  <c r="M39" i="21"/>
  <c r="N39" i="21"/>
  <c r="O39" i="21"/>
  <c r="P39" i="21"/>
  <c r="Q39" i="21"/>
  <c r="R39" i="21"/>
  <c r="S39" i="21"/>
  <c r="T39" i="21"/>
  <c r="U39" i="21"/>
  <c r="V39" i="21"/>
  <c r="W39" i="21"/>
  <c r="X39" i="21"/>
  <c r="Y39" i="21"/>
  <c r="Z39" i="21"/>
  <c r="AA39" i="21"/>
  <c r="B39" i="21"/>
  <c r="I106" i="36"/>
  <c r="I284" i="36"/>
  <c r="I422" i="36"/>
  <c r="I426" i="36"/>
  <c r="I430" i="36"/>
  <c r="I103" i="36"/>
  <c r="I107" i="36"/>
  <c r="I111" i="36"/>
  <c r="I276" i="36"/>
  <c r="I281" i="36"/>
  <c r="I105" i="36"/>
  <c r="I109" i="36"/>
  <c r="I266" i="36"/>
  <c r="I283" i="36"/>
  <c r="I287" i="36"/>
  <c r="I421" i="36"/>
  <c r="I425" i="36"/>
  <c r="I429" i="36"/>
  <c r="I427" i="36"/>
  <c r="I534" i="36"/>
  <c r="I598" i="36"/>
  <c r="I602" i="36"/>
  <c r="I285" i="36"/>
  <c r="I420" i="36"/>
  <c r="I428" i="36"/>
  <c r="I539" i="36"/>
  <c r="I599" i="36"/>
  <c r="I609" i="36"/>
  <c r="I424" i="36"/>
  <c r="I533" i="36"/>
  <c r="I601" i="36"/>
  <c r="I605" i="36"/>
  <c r="I607" i="36"/>
  <c r="I1016" i="36"/>
  <c r="I540" i="36"/>
  <c r="I613" i="36"/>
  <c r="I104" i="36"/>
  <c r="I600" i="36"/>
  <c r="I608" i="36"/>
  <c r="I1018" i="36"/>
  <c r="I253" i="36"/>
  <c r="I423" i="36"/>
  <c r="I532" i="36"/>
  <c r="I616" i="36"/>
  <c r="I885" i="36"/>
  <c r="I286" i="36"/>
  <c r="I536" i="36"/>
  <c r="I612" i="36"/>
  <c r="I1015" i="36"/>
  <c r="I610" i="36"/>
  <c r="I1024" i="36"/>
  <c r="I27" i="36"/>
  <c r="I138" i="36"/>
  <c r="I142" i="36"/>
  <c r="I190" i="36"/>
  <c r="I227" i="36"/>
  <c r="I365" i="36"/>
  <c r="I373" i="36"/>
  <c r="I28" i="36"/>
  <c r="I32" i="36"/>
  <c r="I143" i="36"/>
  <c r="I191" i="36"/>
  <c r="I195" i="36"/>
  <c r="I232" i="36"/>
  <c r="I30" i="36"/>
  <c r="I137" i="36"/>
  <c r="I189" i="36"/>
  <c r="I193" i="36"/>
  <c r="I368" i="36"/>
  <c r="I192" i="36"/>
  <c r="I229" i="36"/>
  <c r="I375" i="36"/>
  <c r="I526" i="36"/>
  <c r="I196" i="36"/>
  <c r="I370" i="36"/>
  <c r="I527" i="36"/>
  <c r="I33" i="36"/>
  <c r="I140" i="36"/>
  <c r="I374" i="36"/>
  <c r="I521" i="36"/>
  <c r="I529" i="36"/>
  <c r="I655" i="36"/>
  <c r="I874" i="36"/>
  <c r="I878" i="36"/>
  <c r="I660" i="36"/>
  <c r="I872" i="36"/>
  <c r="I1042" i="36"/>
  <c r="I29" i="36"/>
  <c r="I528" i="36"/>
  <c r="I661" i="36"/>
  <c r="I879" i="36"/>
  <c r="I1043" i="36"/>
  <c r="I371" i="36"/>
  <c r="I520" i="36"/>
  <c r="I653" i="36"/>
  <c r="I658" i="36"/>
  <c r="I881" i="36"/>
  <c r="I1037" i="36"/>
  <c r="I1045" i="36"/>
  <c r="I1038" i="36"/>
  <c r="I652" i="36"/>
  <c r="I875" i="36"/>
  <c r="I90" i="36"/>
  <c r="I94" i="36"/>
  <c r="I98" i="36"/>
  <c r="I130" i="36"/>
  <c r="I91" i="36"/>
  <c r="I95" i="36"/>
  <c r="I99" i="36"/>
  <c r="I123" i="36"/>
  <c r="I127" i="36"/>
  <c r="I131" i="36"/>
  <c r="I93" i="36"/>
  <c r="I97" i="36"/>
  <c r="I125" i="36"/>
  <c r="I129" i="36"/>
  <c r="I96" i="36"/>
  <c r="I128" i="36"/>
  <c r="I100" i="36"/>
  <c r="I92" i="36"/>
  <c r="I124" i="36"/>
  <c r="I114" i="36"/>
  <c r="I118" i="36"/>
  <c r="I122" i="36"/>
  <c r="I255" i="36"/>
  <c r="I259" i="36"/>
  <c r="I263" i="36"/>
  <c r="I465" i="36"/>
  <c r="I469" i="36"/>
  <c r="I473" i="36"/>
  <c r="I115" i="36"/>
  <c r="I119" i="36"/>
  <c r="I256" i="36"/>
  <c r="I260" i="36"/>
  <c r="I264" i="36"/>
  <c r="I113" i="36"/>
  <c r="I117" i="36"/>
  <c r="I121" i="36"/>
  <c r="I258" i="36"/>
  <c r="I262" i="36"/>
  <c r="I464" i="36"/>
  <c r="I468" i="36"/>
  <c r="I472" i="36"/>
  <c r="I112" i="36"/>
  <c r="I261" i="36"/>
  <c r="I466" i="36"/>
  <c r="I474" i="36"/>
  <c r="I116" i="36"/>
  <c r="I265" i="36"/>
  <c r="I467" i="36"/>
  <c r="I257" i="36"/>
  <c r="I471" i="36"/>
  <c r="I830" i="36"/>
  <c r="I834" i="36"/>
  <c r="I918" i="36"/>
  <c r="I922" i="36"/>
  <c r="I832" i="36"/>
  <c r="I837" i="36"/>
  <c r="I917" i="36"/>
  <c r="I470" i="36"/>
  <c r="I828" i="36"/>
  <c r="I833" i="36"/>
  <c r="I919" i="36"/>
  <c r="I924" i="36"/>
  <c r="I120" i="36"/>
  <c r="I925" i="36"/>
  <c r="I835" i="36"/>
  <c r="I920" i="36"/>
  <c r="I831" i="36"/>
  <c r="I836" i="36"/>
  <c r="I916" i="36"/>
  <c r="I921" i="36"/>
  <c r="I827" i="36"/>
  <c r="I923" i="36"/>
  <c r="I829" i="36"/>
  <c r="I915" i="36"/>
  <c r="I3" i="36"/>
  <c r="I7" i="36"/>
  <c r="I11" i="36"/>
  <c r="I15" i="36"/>
  <c r="I19" i="36"/>
  <c r="I23" i="36"/>
  <c r="I47" i="36"/>
  <c r="I51" i="36"/>
  <c r="I55" i="36"/>
  <c r="I71" i="36"/>
  <c r="I75" i="36"/>
  <c r="I324" i="36"/>
  <c r="I328" i="36"/>
  <c r="I356" i="36"/>
  <c r="I360" i="36"/>
  <c r="I364" i="36"/>
  <c r="I398" i="36"/>
  <c r="I402" i="36"/>
  <c r="I406" i="36"/>
  <c r="I477" i="36"/>
  <c r="I481" i="36"/>
  <c r="I485" i="36"/>
  <c r="I497" i="36"/>
  <c r="I501" i="36"/>
  <c r="I4" i="36"/>
  <c r="I8" i="36"/>
  <c r="I12" i="36"/>
  <c r="I16" i="36"/>
  <c r="I20" i="36"/>
  <c r="I48" i="36"/>
  <c r="I52" i="36"/>
  <c r="I56" i="36"/>
  <c r="I68" i="36"/>
  <c r="I72" i="36"/>
  <c r="I76" i="36"/>
  <c r="I6" i="36"/>
  <c r="I10" i="36"/>
  <c r="I14" i="36"/>
  <c r="I18" i="36"/>
  <c r="I22" i="36"/>
  <c r="I46" i="36"/>
  <c r="I50" i="36"/>
  <c r="I54" i="36"/>
  <c r="I70" i="36"/>
  <c r="I74" i="36"/>
  <c r="I78" i="36"/>
  <c r="I323" i="36"/>
  <c r="I327" i="36"/>
  <c r="I331" i="36"/>
  <c r="I355" i="36"/>
  <c r="I359" i="36"/>
  <c r="I363" i="36"/>
  <c r="I401" i="36"/>
  <c r="I405" i="36"/>
  <c r="I476" i="36"/>
  <c r="I480" i="36"/>
  <c r="I484" i="36"/>
  <c r="I5" i="36"/>
  <c r="I21" i="36"/>
  <c r="I53" i="36"/>
  <c r="I69" i="36"/>
  <c r="I322" i="36"/>
  <c r="I330" i="36"/>
  <c r="I357" i="36"/>
  <c r="I399" i="36"/>
  <c r="I407" i="36"/>
  <c r="I482" i="36"/>
  <c r="I502" i="36"/>
  <c r="I506" i="36"/>
  <c r="I574" i="36"/>
  <c r="I578" i="36"/>
  <c r="I582" i="36"/>
  <c r="I9" i="36"/>
  <c r="I73" i="36"/>
  <c r="I325" i="36"/>
  <c r="I358" i="36"/>
  <c r="I400" i="36"/>
  <c r="I408" i="36"/>
  <c r="I475" i="36"/>
  <c r="I483" i="36"/>
  <c r="I498" i="36"/>
  <c r="I503" i="36"/>
  <c r="I507" i="36"/>
  <c r="I575" i="36"/>
  <c r="I579" i="36"/>
  <c r="I583" i="36"/>
  <c r="I17" i="36"/>
  <c r="I49" i="36"/>
  <c r="I321" i="36"/>
  <c r="I329" i="36"/>
  <c r="I354" i="36"/>
  <c r="I362" i="36"/>
  <c r="I404" i="36"/>
  <c r="I479" i="36"/>
  <c r="I500" i="36"/>
  <c r="I505" i="36"/>
  <c r="I577" i="36"/>
  <c r="I581" i="36"/>
  <c r="I850" i="36"/>
  <c r="I854" i="36"/>
  <c r="I858" i="36"/>
  <c r="I926" i="36"/>
  <c r="I930" i="36"/>
  <c r="I934" i="36"/>
  <c r="I938" i="36"/>
  <c r="I942" i="36"/>
  <c r="I946" i="36"/>
  <c r="I982" i="36"/>
  <c r="I986" i="36"/>
  <c r="I990" i="36"/>
  <c r="I1006" i="36"/>
  <c r="I1010" i="36"/>
  <c r="I13" i="36"/>
  <c r="I77" i="36"/>
  <c r="I584" i="36"/>
  <c r="I849" i="36"/>
  <c r="I855" i="36"/>
  <c r="I928" i="36"/>
  <c r="I939" i="36"/>
  <c r="I987" i="36"/>
  <c r="I1004" i="36"/>
  <c r="I2" i="36"/>
  <c r="I1012" i="36"/>
  <c r="I851" i="36"/>
  <c r="I856" i="36"/>
  <c r="I929" i="36"/>
  <c r="I935" i="36"/>
  <c r="I940" i="36"/>
  <c r="I945" i="36"/>
  <c r="I983" i="36"/>
  <c r="I988" i="36"/>
  <c r="I1005" i="36"/>
  <c r="I1011" i="36"/>
  <c r="I361" i="36"/>
  <c r="I403" i="36"/>
  <c r="I499" i="36"/>
  <c r="I857" i="36"/>
  <c r="I936" i="36"/>
  <c r="I947" i="36"/>
  <c r="I989" i="36"/>
  <c r="I326" i="36"/>
  <c r="I504" i="36"/>
  <c r="I580" i="36"/>
  <c r="I853" i="36"/>
  <c r="I859" i="36"/>
  <c r="I927" i="36"/>
  <c r="I932" i="36"/>
  <c r="I937" i="36"/>
  <c r="I943" i="36"/>
  <c r="I985" i="36"/>
  <c r="I991" i="36"/>
  <c r="I1003" i="36"/>
  <c r="I1008" i="36"/>
  <c r="I1013" i="36"/>
  <c r="I933" i="36"/>
  <c r="I944" i="36"/>
  <c r="I981" i="36"/>
  <c r="I1009" i="36"/>
  <c r="I478" i="36"/>
  <c r="I576" i="36"/>
  <c r="I852" i="36"/>
  <c r="I931" i="36"/>
  <c r="I941" i="36"/>
  <c r="I984" i="36"/>
  <c r="I1007" i="36"/>
  <c r="I59" i="36"/>
  <c r="I202" i="36"/>
  <c r="I378" i="36"/>
  <c r="I382" i="36"/>
  <c r="I386" i="36"/>
  <c r="I40" i="36"/>
  <c r="I171" i="36"/>
  <c r="I66" i="36"/>
  <c r="I205" i="36"/>
  <c r="I377" i="36"/>
  <c r="I381" i="36"/>
  <c r="I385" i="36"/>
  <c r="I376" i="36"/>
  <c r="I384" i="36"/>
  <c r="I148" i="36"/>
  <c r="I379" i="36"/>
  <c r="I383" i="36"/>
  <c r="I639" i="36"/>
  <c r="I731" i="36"/>
  <c r="I735" i="36"/>
  <c r="I779" i="36"/>
  <c r="I688" i="36"/>
  <c r="I729" i="36"/>
  <c r="I734" i="36"/>
  <c r="I752" i="36"/>
  <c r="I737" i="36"/>
  <c r="I666" i="36"/>
  <c r="I730" i="36"/>
  <c r="I736" i="36"/>
  <c r="I685" i="36"/>
  <c r="I732" i="36"/>
  <c r="I664" i="36"/>
  <c r="I728" i="36"/>
  <c r="I733" i="36"/>
  <c r="I738" i="36"/>
  <c r="I380" i="36"/>
  <c r="I288" i="36"/>
  <c r="I292" i="36"/>
  <c r="I296" i="36"/>
  <c r="I291" i="36"/>
  <c r="I295" i="36"/>
  <c r="I290" i="36"/>
  <c r="I298" i="36"/>
  <c r="I293" i="36"/>
  <c r="I289" i="36"/>
  <c r="I297" i="36"/>
  <c r="I294" i="36"/>
  <c r="I1048" i="36"/>
  <c r="I1052" i="36"/>
  <c r="I1056" i="36"/>
  <c r="I1049" i="36"/>
  <c r="I1053" i="36"/>
  <c r="I1057" i="36"/>
  <c r="I1051" i="36"/>
  <c r="I1050" i="36"/>
  <c r="I1054" i="36"/>
  <c r="I1055" i="36"/>
  <c r="I1047" i="36"/>
  <c r="U3" i="22"/>
  <c r="V3" i="22"/>
  <c r="U6" i="22"/>
  <c r="V6" i="22"/>
  <c r="U17" i="22"/>
  <c r="V17" i="22"/>
  <c r="U7" i="22"/>
  <c r="V7" i="22"/>
  <c r="U8" i="22"/>
  <c r="V8" i="22"/>
  <c r="U11" i="22"/>
  <c r="V11" i="22"/>
  <c r="U9" i="22"/>
  <c r="V9" i="22"/>
  <c r="U10" i="22"/>
  <c r="V10" i="22"/>
  <c r="U12" i="22"/>
  <c r="V12" i="22"/>
  <c r="U50" i="22"/>
  <c r="V50" i="22"/>
  <c r="U51" i="22"/>
  <c r="V51" i="22"/>
  <c r="U52" i="22"/>
  <c r="V52" i="22"/>
  <c r="U13" i="22"/>
  <c r="V13" i="22"/>
  <c r="U15" i="22"/>
  <c r="V15" i="22"/>
  <c r="U5" i="22"/>
  <c r="V5" i="22"/>
  <c r="U14" i="22"/>
  <c r="V14" i="22"/>
  <c r="U16" i="22"/>
  <c r="V16" i="22"/>
  <c r="U18" i="22"/>
  <c r="V18" i="22"/>
  <c r="U41" i="22"/>
  <c r="V41" i="22"/>
  <c r="U42" i="22"/>
  <c r="V42" i="22"/>
  <c r="U19" i="22"/>
  <c r="V19" i="22"/>
  <c r="U21" i="22"/>
  <c r="V21" i="22"/>
  <c r="U22" i="22"/>
  <c r="V22" i="22"/>
  <c r="U23" i="22"/>
  <c r="V23" i="22"/>
  <c r="U24" i="22"/>
  <c r="V24" i="22"/>
  <c r="U43" i="22"/>
  <c r="V43" i="22"/>
  <c r="U45" i="22"/>
  <c r="V45" i="22"/>
  <c r="U44" i="22"/>
  <c r="V44" i="22"/>
  <c r="U26" i="22"/>
  <c r="V26" i="22"/>
  <c r="U27" i="22"/>
  <c r="V27" i="22"/>
  <c r="U28" i="22"/>
  <c r="V28" i="22"/>
  <c r="U29" i="22"/>
  <c r="V29" i="22"/>
  <c r="U37" i="22"/>
  <c r="V37" i="22"/>
  <c r="U49" i="22"/>
  <c r="V49" i="22"/>
  <c r="U48" i="22"/>
  <c r="V48" i="22"/>
  <c r="U46" i="22"/>
  <c r="V46" i="22"/>
  <c r="U47" i="22"/>
  <c r="V47" i="22"/>
  <c r="U33" i="22"/>
  <c r="V33" i="22"/>
  <c r="U34" i="22"/>
  <c r="V34" i="22"/>
  <c r="U36" i="22"/>
  <c r="V36" i="22"/>
  <c r="U40" i="22"/>
  <c r="V40" i="22"/>
  <c r="U53" i="22"/>
  <c r="V53" i="22"/>
  <c r="V2" i="22"/>
  <c r="U2" i="22"/>
  <c r="P3" i="22"/>
  <c r="P6" i="22"/>
  <c r="Q6" i="22"/>
  <c r="P17" i="22"/>
  <c r="Q17" i="22"/>
  <c r="P7" i="22"/>
  <c r="Q7" i="22"/>
  <c r="P8" i="22"/>
  <c r="Q8" i="22"/>
  <c r="P11" i="22"/>
  <c r="Q11" i="22"/>
  <c r="P9" i="22"/>
  <c r="Q9" i="22"/>
  <c r="P10" i="22"/>
  <c r="Q10" i="22"/>
  <c r="P12" i="22"/>
  <c r="Q12" i="22"/>
  <c r="P50" i="22"/>
  <c r="Q50" i="22"/>
  <c r="P51" i="22"/>
  <c r="Q51" i="22"/>
  <c r="P52" i="22"/>
  <c r="Q52" i="22"/>
  <c r="P13" i="22"/>
  <c r="Q13" i="22"/>
  <c r="P15" i="22"/>
  <c r="Q15" i="22"/>
  <c r="P5" i="22"/>
  <c r="Q5" i="22"/>
  <c r="P14" i="22"/>
  <c r="Q14" i="22"/>
  <c r="P16" i="22"/>
  <c r="P18" i="22"/>
  <c r="Q18" i="22"/>
  <c r="P41" i="22"/>
  <c r="Q41" i="22"/>
  <c r="P42" i="22"/>
  <c r="Q42" i="22"/>
  <c r="P19" i="22"/>
  <c r="P21" i="22"/>
  <c r="Q21" i="22"/>
  <c r="P22" i="22"/>
  <c r="Q22" i="22"/>
  <c r="P23" i="22"/>
  <c r="Q23" i="22"/>
  <c r="P24" i="22"/>
  <c r="Q24" i="22"/>
  <c r="P31" i="22"/>
  <c r="Q31" i="22"/>
  <c r="P43" i="22"/>
  <c r="Q43" i="22"/>
  <c r="P45" i="22"/>
  <c r="Q45" i="22"/>
  <c r="P44" i="22"/>
  <c r="Q44" i="22"/>
  <c r="P26" i="22"/>
  <c r="Q26" i="22"/>
  <c r="P27" i="22"/>
  <c r="P28" i="22"/>
  <c r="Q28" i="22"/>
  <c r="P29" i="22"/>
  <c r="Q29" i="22"/>
  <c r="P37" i="22"/>
  <c r="Q37" i="22"/>
  <c r="P49" i="22"/>
  <c r="Q49" i="22"/>
  <c r="P48" i="22"/>
  <c r="Q48" i="22"/>
  <c r="P46" i="22"/>
  <c r="Q46" i="22"/>
  <c r="P47" i="22"/>
  <c r="Q47" i="22"/>
  <c r="P33" i="22"/>
  <c r="Q33" i="22"/>
  <c r="P34" i="22"/>
  <c r="Q34" i="22"/>
  <c r="P36" i="22"/>
  <c r="Q36" i="22"/>
  <c r="P40" i="22"/>
  <c r="Q40" i="22"/>
  <c r="P53" i="22"/>
  <c r="Q53" i="22"/>
  <c r="P59" i="22"/>
  <c r="Q59" i="22"/>
  <c r="P54" i="22"/>
  <c r="Q54" i="22"/>
  <c r="P60" i="22"/>
  <c r="Q60" i="22"/>
  <c r="P61" i="22"/>
  <c r="Q61" i="22"/>
  <c r="P55" i="22"/>
  <c r="Q55" i="22"/>
  <c r="P58" i="22"/>
  <c r="Q58" i="22"/>
  <c r="P62" i="22"/>
  <c r="Q62" i="22"/>
  <c r="P63" i="22"/>
  <c r="Q63" i="22"/>
  <c r="P64" i="22"/>
  <c r="Q64" i="22"/>
  <c r="P2" i="22"/>
  <c r="M59" i="22"/>
  <c r="N59" i="22"/>
  <c r="M60" i="22"/>
  <c r="N60" i="22"/>
  <c r="M61" i="22"/>
  <c r="N61" i="22"/>
  <c r="M62" i="22"/>
  <c r="N62" i="22"/>
  <c r="M63" i="22"/>
  <c r="N63" i="22"/>
  <c r="M64" i="22"/>
  <c r="N64" i="22"/>
  <c r="J9" i="21"/>
  <c r="V49" i="21" s="1"/>
  <c r="J8" i="21"/>
  <c r="M46" i="21" s="1"/>
  <c r="I17" i="21"/>
  <c r="I18" i="21"/>
  <c r="I19" i="21"/>
  <c r="I16" i="21"/>
  <c r="I9" i="21"/>
  <c r="U51" i="21" s="1"/>
  <c r="I8" i="21"/>
  <c r="L48" i="21" s="1"/>
  <c r="M12" i="22" s="1"/>
  <c r="C8" i="21"/>
  <c r="F47" i="21" s="1"/>
  <c r="D8" i="21"/>
  <c r="G53" i="21" s="1"/>
  <c r="E8" i="21"/>
  <c r="M5" i="21" s="1"/>
  <c r="F8" i="21"/>
  <c r="N7" i="21" s="1"/>
  <c r="G8" i="21"/>
  <c r="O7" i="21" s="1"/>
  <c r="H8" i="21"/>
  <c r="K46" i="21" s="1"/>
  <c r="C9" i="21"/>
  <c r="O45" i="21" s="1"/>
  <c r="D9" i="21"/>
  <c r="P51" i="21" s="1"/>
  <c r="E9" i="21"/>
  <c r="Q53" i="21" s="1"/>
  <c r="F9" i="21"/>
  <c r="R52" i="21" s="1"/>
  <c r="G9" i="21"/>
  <c r="S47" i="21" s="1"/>
  <c r="H9" i="21"/>
  <c r="T46" i="21" s="1"/>
  <c r="B9" i="21"/>
  <c r="P4" i="21" s="1"/>
  <c r="B8" i="21"/>
  <c r="E45" i="21" s="1"/>
  <c r="H17" i="21"/>
  <c r="H18" i="21"/>
  <c r="H19" i="21"/>
  <c r="H16" i="21"/>
  <c r="D32" i="21"/>
  <c r="E32" i="21"/>
  <c r="F32" i="21"/>
  <c r="C32" i="21"/>
  <c r="Q19" i="22"/>
  <c r="Q2" i="22"/>
  <c r="S45" i="21"/>
  <c r="U46" i="21"/>
  <c r="N26" i="22" s="1"/>
  <c r="Q49" i="21"/>
  <c r="L49" i="21"/>
  <c r="S49" i="21"/>
  <c r="F49" i="21"/>
  <c r="M8" i="22" s="1"/>
  <c r="U48" i="21"/>
  <c r="N12" i="22" s="1"/>
  <c r="S48" i="21"/>
  <c r="N22" i="22" s="1"/>
  <c r="S52" i="21"/>
  <c r="I52" i="21"/>
  <c r="L53" i="21"/>
  <c r="E53" i="21"/>
  <c r="F53" i="21"/>
  <c r="S54" i="21"/>
  <c r="E54" i="21"/>
  <c r="S50" i="21"/>
  <c r="I50" i="21"/>
  <c r="E45" i="38" l="1"/>
  <c r="E198" i="38"/>
  <c r="H198" i="38"/>
  <c r="E270" i="38"/>
  <c r="E420" i="38"/>
  <c r="G50" i="21"/>
  <c r="G54" i="21"/>
  <c r="G48" i="21"/>
  <c r="M27" i="22" s="1"/>
  <c r="P49" i="21"/>
  <c r="N19" i="22" s="1"/>
  <c r="AB19" i="22" s="1"/>
  <c r="U49" i="21"/>
  <c r="L45" i="21"/>
  <c r="R54" i="21"/>
  <c r="U45" i="21"/>
  <c r="K45" i="21"/>
  <c r="T52" i="21"/>
  <c r="K47" i="21"/>
  <c r="I54" i="21"/>
  <c r="N4" i="21"/>
  <c r="I47" i="21"/>
  <c r="I46" i="21"/>
  <c r="M56" i="22" s="1"/>
  <c r="I45" i="21"/>
  <c r="N5" i="21"/>
  <c r="R50" i="21"/>
  <c r="I53" i="21"/>
  <c r="I48" i="21"/>
  <c r="M10" i="22" s="1"/>
  <c r="I49" i="21"/>
  <c r="R51" i="21"/>
  <c r="N6" i="21"/>
  <c r="I51" i="21"/>
  <c r="N23" i="22"/>
  <c r="N28" i="22"/>
  <c r="G19" i="22"/>
  <c r="G3" i="22"/>
  <c r="G20" i="22"/>
  <c r="I890" i="36"/>
  <c r="I891" i="36"/>
  <c r="I884" i="36"/>
  <c r="I887" i="36"/>
  <c r="I882" i="36"/>
  <c r="I889" i="36"/>
  <c r="I892" i="36"/>
  <c r="I251" i="36"/>
  <c r="I244" i="36"/>
  <c r="I250" i="36"/>
  <c r="I249" i="36"/>
  <c r="I248" i="36"/>
  <c r="I246" i="36"/>
  <c r="I247" i="36"/>
  <c r="I252" i="36"/>
  <c r="I254" i="36"/>
  <c r="Q57" i="22"/>
  <c r="Q38" i="22"/>
  <c r="F9" i="22"/>
  <c r="F53" i="22"/>
  <c r="F37" i="22"/>
  <c r="F33" i="22"/>
  <c r="F30" i="22"/>
  <c r="F36" i="22"/>
  <c r="AC4" i="21"/>
  <c r="AC5" i="21"/>
  <c r="AC7" i="21"/>
  <c r="AC6" i="21"/>
  <c r="R45" i="21"/>
  <c r="R48" i="21"/>
  <c r="N10" i="22" s="1"/>
  <c r="K48" i="21"/>
  <c r="K52" i="21"/>
  <c r="G47" i="21"/>
  <c r="G51" i="21"/>
  <c r="G49" i="21"/>
  <c r="M20" i="22" s="1"/>
  <c r="G30" i="22"/>
  <c r="G36" i="22"/>
  <c r="G9" i="22"/>
  <c r="G53" i="22"/>
  <c r="G37" i="22"/>
  <c r="G33" i="22"/>
  <c r="I690" i="36"/>
  <c r="I750" i="36"/>
  <c r="I692" i="36"/>
  <c r="I758" i="36"/>
  <c r="I672" i="36"/>
  <c r="I757" i="36"/>
  <c r="I693" i="36"/>
  <c r="I152" i="36"/>
  <c r="I663" i="36"/>
  <c r="I37" i="36"/>
  <c r="I209" i="36"/>
  <c r="I145" i="36"/>
  <c r="I175" i="36"/>
  <c r="I44" i="36"/>
  <c r="I146" i="36"/>
  <c r="I230" i="36"/>
  <c r="I883" i="36"/>
  <c r="I270" i="36"/>
  <c r="I695" i="36"/>
  <c r="I458" i="36"/>
  <c r="F3" i="22"/>
  <c r="F20" i="22"/>
  <c r="AA20" i="22" s="1"/>
  <c r="I255" i="35" s="1"/>
  <c r="F189" i="36" s="1"/>
  <c r="O189" i="36" s="1"/>
  <c r="F19" i="22"/>
  <c r="Q47" i="21"/>
  <c r="N17" i="22" s="1"/>
  <c r="AB7" i="21"/>
  <c r="AB6" i="21"/>
  <c r="AB4" i="21"/>
  <c r="AB5" i="21"/>
  <c r="K50" i="21"/>
  <c r="U50" i="21"/>
  <c r="K54" i="21"/>
  <c r="U54" i="21"/>
  <c r="R53" i="21"/>
  <c r="G52" i="21"/>
  <c r="Q52" i="21"/>
  <c r="J48" i="21"/>
  <c r="M22" i="22" s="1"/>
  <c r="K51" i="21"/>
  <c r="G46" i="21"/>
  <c r="Q16" i="22"/>
  <c r="Q35" i="22"/>
  <c r="I45" i="36"/>
  <c r="I634" i="36"/>
  <c r="I662" i="36"/>
  <c r="I777" i="36"/>
  <c r="I636" i="36"/>
  <c r="I755" i="36"/>
  <c r="I691" i="36"/>
  <c r="I173" i="36"/>
  <c r="I42" i="36"/>
  <c r="I151" i="36"/>
  <c r="I174" i="36"/>
  <c r="I43" i="36"/>
  <c r="I888" i="36"/>
  <c r="I886" i="36"/>
  <c r="I245" i="36"/>
  <c r="I268" i="36"/>
  <c r="N42" i="22"/>
  <c r="N45" i="22"/>
  <c r="I1237" i="36"/>
  <c r="I1240" i="36"/>
  <c r="I1233" i="36"/>
  <c r="I1235" i="36"/>
  <c r="I1239" i="36"/>
  <c r="I1241" i="36"/>
  <c r="I1238" i="36"/>
  <c r="I1232" i="36"/>
  <c r="I1234" i="36"/>
  <c r="I1236" i="36"/>
  <c r="I1242" i="36"/>
  <c r="I1222" i="36"/>
  <c r="I1224" i="36"/>
  <c r="I1226" i="36"/>
  <c r="I1228" i="36"/>
  <c r="I1230" i="36"/>
  <c r="I1221" i="36"/>
  <c r="I1225" i="36"/>
  <c r="I1229" i="36"/>
  <c r="I1223" i="36"/>
  <c r="I1227" i="36"/>
  <c r="I1231" i="36"/>
  <c r="I1123" i="36"/>
  <c r="I1125" i="36"/>
  <c r="I1127" i="36"/>
  <c r="I1129" i="36"/>
  <c r="I1131" i="36"/>
  <c r="I1133" i="36"/>
  <c r="I1124" i="36"/>
  <c r="I1126" i="36"/>
  <c r="I1128" i="36"/>
  <c r="I1130" i="36"/>
  <c r="I1132" i="36"/>
  <c r="I1113" i="36"/>
  <c r="I1117" i="36"/>
  <c r="I1121" i="36"/>
  <c r="I1114" i="36"/>
  <c r="I1118" i="36"/>
  <c r="I1122" i="36"/>
  <c r="I1115" i="36"/>
  <c r="I1119" i="36"/>
  <c r="I1112" i="36"/>
  <c r="I1116" i="36"/>
  <c r="I1120" i="36"/>
  <c r="I455" i="36"/>
  <c r="I459" i="36"/>
  <c r="I463" i="36"/>
  <c r="I696" i="36"/>
  <c r="I700" i="36"/>
  <c r="I704" i="36"/>
  <c r="I272" i="36"/>
  <c r="I274" i="36"/>
  <c r="I269" i="36"/>
  <c r="I231" i="36"/>
  <c r="I222" i="36"/>
  <c r="I225" i="36"/>
  <c r="I456" i="36"/>
  <c r="I460" i="36"/>
  <c r="I697" i="36"/>
  <c r="I701" i="36"/>
  <c r="I705" i="36"/>
  <c r="I453" i="36"/>
  <c r="I457" i="36"/>
  <c r="I461" i="36"/>
  <c r="I698" i="36"/>
  <c r="I702" i="36"/>
  <c r="I703" i="36"/>
  <c r="I275" i="36"/>
  <c r="I224" i="36"/>
  <c r="I35" i="36"/>
  <c r="I63" i="36"/>
  <c r="I154" i="36"/>
  <c r="I206" i="36"/>
  <c r="I60" i="36"/>
  <c r="I155" i="36"/>
  <c r="I203" i="36"/>
  <c r="I58" i="36"/>
  <c r="I149" i="36"/>
  <c r="I177" i="36"/>
  <c r="I176" i="36"/>
  <c r="I41" i="36"/>
  <c r="I65" i="36"/>
  <c r="I631" i="36"/>
  <c r="I667" i="36"/>
  <c r="I759" i="36"/>
  <c r="I168" i="36"/>
  <c r="I665" i="36"/>
  <c r="I774" i="36"/>
  <c r="I632" i="36"/>
  <c r="I684" i="36"/>
  <c r="I781" i="36"/>
  <c r="I754" i="36"/>
  <c r="I61" i="36"/>
  <c r="I669" i="36"/>
  <c r="I773" i="36"/>
  <c r="I633" i="36"/>
  <c r="I454" i="36"/>
  <c r="I273" i="36"/>
  <c r="I223" i="36"/>
  <c r="I228" i="36"/>
  <c r="I226" i="36"/>
  <c r="I39" i="36"/>
  <c r="I67" i="36"/>
  <c r="I170" i="36"/>
  <c r="I210" i="36"/>
  <c r="I36" i="36"/>
  <c r="I64" i="36"/>
  <c r="I167" i="36"/>
  <c r="I207" i="36"/>
  <c r="I62" i="36"/>
  <c r="I153" i="36"/>
  <c r="I201" i="36"/>
  <c r="I208" i="36"/>
  <c r="I57" i="36"/>
  <c r="I172" i="36"/>
  <c r="I635" i="36"/>
  <c r="I671" i="36"/>
  <c r="I775" i="36"/>
  <c r="I200" i="36"/>
  <c r="I670" i="36"/>
  <c r="I780" i="36"/>
  <c r="I637" i="36"/>
  <c r="I689" i="36"/>
  <c r="I753" i="36"/>
  <c r="I638" i="36"/>
  <c r="I782" i="36"/>
  <c r="I629" i="36"/>
  <c r="I686" i="36"/>
  <c r="I778" i="36"/>
  <c r="I668" i="36"/>
  <c r="F50" i="21"/>
  <c r="M38" i="22" s="1"/>
  <c r="AA38" i="22" s="1"/>
  <c r="H113" i="35" s="1"/>
  <c r="E927" i="36" s="1"/>
  <c r="N927" i="36" s="1"/>
  <c r="Q50" i="21"/>
  <c r="Q54" i="21"/>
  <c r="K53" i="21"/>
  <c r="N53" i="21"/>
  <c r="F48" i="21"/>
  <c r="M14" i="22" s="1"/>
  <c r="K49" i="21"/>
  <c r="R49" i="21"/>
  <c r="G100" i="42"/>
  <c r="Q51" i="21"/>
  <c r="R47" i="21"/>
  <c r="R46" i="21"/>
  <c r="N56" i="22" s="1"/>
  <c r="Q3" i="22"/>
  <c r="Q39" i="22"/>
  <c r="Q4" i="22"/>
  <c r="Q25" i="22"/>
  <c r="Q20" i="22"/>
  <c r="Q27" i="22"/>
  <c r="F56" i="22"/>
  <c r="F57" i="22"/>
  <c r="F5" i="22"/>
  <c r="F52" i="22"/>
  <c r="F34" i="22"/>
  <c r="F39" i="22"/>
  <c r="F54" i="22"/>
  <c r="F58" i="22"/>
  <c r="F6" i="22"/>
  <c r="F13" i="22"/>
  <c r="F41" i="22"/>
  <c r="F23" i="22"/>
  <c r="F43" i="22"/>
  <c r="F28" i="22"/>
  <c r="F45" i="22"/>
  <c r="F7" i="22"/>
  <c r="F10" i="22"/>
  <c r="F50" i="22"/>
  <c r="F14" i="22"/>
  <c r="F42" i="22"/>
  <c r="F24" i="22"/>
  <c r="F29" i="22"/>
  <c r="F46" i="22"/>
  <c r="F35" i="22"/>
  <c r="F55" i="22"/>
  <c r="F8" i="22"/>
  <c r="F51" i="22"/>
  <c r="F18" i="22"/>
  <c r="F21" i="22"/>
  <c r="F47" i="22"/>
  <c r="F40" i="22"/>
  <c r="F2" i="22"/>
  <c r="AD5" i="21"/>
  <c r="AD4" i="21"/>
  <c r="AD7" i="21"/>
  <c r="AD6" i="21"/>
  <c r="S46" i="21"/>
  <c r="S51" i="21"/>
  <c r="S53" i="21"/>
  <c r="U47" i="21"/>
  <c r="U52" i="21"/>
  <c r="U53" i="21"/>
  <c r="G57" i="22"/>
  <c r="G56" i="22"/>
  <c r="G18" i="22"/>
  <c r="G34" i="22"/>
  <c r="G54" i="22"/>
  <c r="G55" i="22"/>
  <c r="I760" i="36"/>
  <c r="I756" i="36"/>
  <c r="I772" i="36"/>
  <c r="I776" i="36"/>
  <c r="I694" i="36"/>
  <c r="I630" i="36"/>
  <c r="I751" i="36"/>
  <c r="I687" i="36"/>
  <c r="I204" i="36"/>
  <c r="I169" i="36"/>
  <c r="I38" i="36"/>
  <c r="I147" i="36"/>
  <c r="I150" i="36"/>
  <c r="I267" i="36"/>
  <c r="I699" i="36"/>
  <c r="I462" i="36"/>
  <c r="I79" i="36"/>
  <c r="I83" i="36"/>
  <c r="I87" i="36"/>
  <c r="I80" i="36"/>
  <c r="I84" i="36"/>
  <c r="I88" i="36"/>
  <c r="I81" i="36"/>
  <c r="I85" i="36"/>
  <c r="I89" i="36"/>
  <c r="I280" i="36"/>
  <c r="I282" i="36"/>
  <c r="I538" i="36"/>
  <c r="I531" i="36"/>
  <c r="I603" i="36"/>
  <c r="I278" i="36"/>
  <c r="I597" i="36"/>
  <c r="I611" i="36"/>
  <c r="I596" i="36"/>
  <c r="I1014" i="36"/>
  <c r="I614" i="36"/>
  <c r="I1023" i="36"/>
  <c r="I604" i="36"/>
  <c r="I617" i="36"/>
  <c r="I1021" i="36"/>
  <c r="I102" i="36"/>
  <c r="I101" i="36"/>
  <c r="I1091" i="36"/>
  <c r="I1092" i="36"/>
  <c r="I1093" i="36"/>
  <c r="I1094" i="36"/>
  <c r="I1095" i="36"/>
  <c r="I1078" i="36"/>
  <c r="I1072" i="36"/>
  <c r="I1076" i="36"/>
  <c r="I1079" i="36"/>
  <c r="I1071" i="36"/>
  <c r="I1075" i="36"/>
  <c r="I134" i="36"/>
  <c r="I194" i="36"/>
  <c r="I24" i="36"/>
  <c r="I139" i="36"/>
  <c r="I199" i="36"/>
  <c r="I26" i="36"/>
  <c r="I141" i="36"/>
  <c r="I372" i="36"/>
  <c r="I367" i="36"/>
  <c r="I25" i="36"/>
  <c r="I523" i="36"/>
  <c r="I525" i="36"/>
  <c r="I659" i="36"/>
  <c r="I654" i="36"/>
  <c r="I657" i="36"/>
  <c r="I656" i="36"/>
  <c r="I1039" i="36"/>
  <c r="I136" i="36"/>
  <c r="I871" i="36"/>
  <c r="I1041" i="36"/>
  <c r="I1046" i="36"/>
  <c r="I1036" i="36"/>
  <c r="I1070" i="36"/>
  <c r="I1074" i="36"/>
  <c r="I1069" i="36"/>
  <c r="I1073" i="36"/>
  <c r="I1077" i="36"/>
  <c r="I86" i="36"/>
  <c r="F27" i="22"/>
  <c r="F16" i="22"/>
  <c r="F44" i="22"/>
  <c r="F4" i="22"/>
  <c r="F11" i="22"/>
  <c r="F26" i="22"/>
  <c r="R7" i="21"/>
  <c r="I880" i="36"/>
  <c r="I877" i="36"/>
  <c r="I876" i="36"/>
  <c r="I1040" i="36"/>
  <c r="I873" i="36"/>
  <c r="I1044" i="36"/>
  <c r="I524" i="36"/>
  <c r="I651" i="36"/>
  <c r="I366" i="36"/>
  <c r="I519" i="36"/>
  <c r="I522" i="36"/>
  <c r="I144" i="36"/>
  <c r="I197" i="36"/>
  <c r="I34" i="36"/>
  <c r="I135" i="36"/>
  <c r="I369" i="36"/>
  <c r="I198" i="36"/>
  <c r="I31" i="36"/>
  <c r="I1017" i="36"/>
  <c r="I1019" i="36"/>
  <c r="I1022" i="36"/>
  <c r="I1020" i="36"/>
  <c r="I615" i="36"/>
  <c r="I537" i="36"/>
  <c r="I108" i="36"/>
  <c r="I535" i="36"/>
  <c r="I606" i="36"/>
  <c r="I530" i="36"/>
  <c r="I279" i="36"/>
  <c r="I277" i="36"/>
  <c r="I110" i="36"/>
  <c r="I126" i="36"/>
  <c r="I133" i="36"/>
  <c r="I132" i="36"/>
  <c r="I1199" i="36"/>
  <c r="I1200" i="36"/>
  <c r="I1202" i="36"/>
  <c r="I1204" i="36"/>
  <c r="I1206" i="36"/>
  <c r="I1208" i="36"/>
  <c r="I1201" i="36"/>
  <c r="I1203" i="36"/>
  <c r="I1205" i="36"/>
  <c r="I1207" i="36"/>
  <c r="I1209" i="36"/>
  <c r="I82" i="36"/>
  <c r="E506" i="38"/>
  <c r="E502" i="38"/>
  <c r="E498" i="38"/>
  <c r="E240" i="38"/>
  <c r="E236" i="38"/>
  <c r="E505" i="38"/>
  <c r="E497" i="38"/>
  <c r="E239" i="38"/>
  <c r="E235" i="38"/>
  <c r="I1177" i="36"/>
  <c r="I1179" i="36"/>
  <c r="I1181" i="36"/>
  <c r="I1183" i="36"/>
  <c r="I1185" i="36"/>
  <c r="I1187" i="36"/>
  <c r="I1178" i="36"/>
  <c r="I1180" i="36"/>
  <c r="I1182" i="36"/>
  <c r="I1184" i="36"/>
  <c r="I1186" i="36"/>
  <c r="I1168" i="36"/>
  <c r="I1172" i="36"/>
  <c r="I1176" i="36"/>
  <c r="I1169" i="36"/>
  <c r="I1173" i="36"/>
  <c r="I1166" i="36"/>
  <c r="I1170" i="36"/>
  <c r="I1174" i="36"/>
  <c r="I1167" i="36"/>
  <c r="I1171" i="36"/>
  <c r="I1175" i="36"/>
  <c r="I1135" i="36"/>
  <c r="I1139" i="36"/>
  <c r="I1143" i="36"/>
  <c r="I1136" i="36"/>
  <c r="I1140" i="36"/>
  <c r="I1144" i="36"/>
  <c r="I1137" i="36"/>
  <c r="I1141" i="36"/>
  <c r="I1134" i="36"/>
  <c r="I1138" i="36"/>
  <c r="I1142" i="36"/>
  <c r="AF13" i="22"/>
  <c r="AF56" i="22"/>
  <c r="AF57" i="22"/>
  <c r="AF54" i="22"/>
  <c r="E504" i="38"/>
  <c r="E500" i="38"/>
  <c r="E242" i="38"/>
  <c r="E238" i="38"/>
  <c r="E234" i="38"/>
  <c r="E503" i="38"/>
  <c r="E499" i="38"/>
  <c r="E241" i="38"/>
  <c r="E237" i="38"/>
  <c r="E233" i="38"/>
  <c r="L194" i="35"/>
  <c r="L132" i="35"/>
  <c r="L267" i="35"/>
  <c r="L97" i="35"/>
  <c r="L44" i="35"/>
  <c r="L8" i="35"/>
  <c r="L99" i="35"/>
  <c r="L376" i="35"/>
  <c r="L503" i="35"/>
  <c r="L17" i="35"/>
  <c r="E50" i="21"/>
  <c r="E52" i="21"/>
  <c r="E48" i="21"/>
  <c r="M35" i="22" s="1"/>
  <c r="E49" i="21"/>
  <c r="M13" i="22" s="1"/>
  <c r="E51" i="21"/>
  <c r="E47" i="21"/>
  <c r="G53" i="42" s="1"/>
  <c r="F52" i="21"/>
  <c r="M58" i="22" s="1"/>
  <c r="AA58" i="22" s="1"/>
  <c r="H619" i="35" s="1"/>
  <c r="F54" i="21"/>
  <c r="M37" i="22" s="1"/>
  <c r="AA37" i="22" s="1"/>
  <c r="O52" i="21"/>
  <c r="N58" i="22" s="1"/>
  <c r="O49" i="21"/>
  <c r="O51" i="21"/>
  <c r="N36" i="22" s="1"/>
  <c r="F51" i="21"/>
  <c r="M36" i="22" s="1"/>
  <c r="Q6" i="21"/>
  <c r="N30" i="22"/>
  <c r="N32" i="22"/>
  <c r="AB32" i="22" s="1"/>
  <c r="O50" i="21"/>
  <c r="N38" i="22" s="1"/>
  <c r="O53" i="21"/>
  <c r="Q7" i="21"/>
  <c r="O54" i="21"/>
  <c r="N37" i="22" s="1"/>
  <c r="N11" i="22"/>
  <c r="O47" i="21"/>
  <c r="N57" i="22" s="1"/>
  <c r="AB57" i="22" s="1"/>
  <c r="O46" i="21"/>
  <c r="O48" i="21"/>
  <c r="N54" i="22" s="1"/>
  <c r="Q4" i="21"/>
  <c r="X4" i="21" s="1"/>
  <c r="AJ4" i="21" s="1"/>
  <c r="E46" i="21"/>
  <c r="M6" i="22" s="1"/>
  <c r="P53" i="21"/>
  <c r="P50" i="21"/>
  <c r="P54" i="21"/>
  <c r="P48" i="21"/>
  <c r="N27" i="22" s="1"/>
  <c r="R6" i="21"/>
  <c r="Z6" i="21" s="1"/>
  <c r="G45" i="21"/>
  <c r="P52" i="21"/>
  <c r="F45" i="21"/>
  <c r="L403" i="35"/>
  <c r="L301" i="35"/>
  <c r="J50" i="21"/>
  <c r="M31" i="22" s="1"/>
  <c r="AA31" i="22" s="1"/>
  <c r="O6" i="21"/>
  <c r="X6" i="21" s="1"/>
  <c r="AJ6" i="21" s="1"/>
  <c r="J52" i="21"/>
  <c r="J49" i="21"/>
  <c r="J45" i="21"/>
  <c r="O5" i="21"/>
  <c r="J53" i="21"/>
  <c r="J47" i="21"/>
  <c r="M23" i="22" s="1"/>
  <c r="J46" i="21"/>
  <c r="X7" i="21"/>
  <c r="AJ7" i="21" s="1"/>
  <c r="O4" i="21"/>
  <c r="AA7" i="21"/>
  <c r="J54" i="21"/>
  <c r="J51" i="21"/>
  <c r="N14" i="22"/>
  <c r="N51" i="21"/>
  <c r="N47" i="21"/>
  <c r="F28" i="42" s="1"/>
  <c r="P5" i="21"/>
  <c r="N50" i="21"/>
  <c r="N46" i="21"/>
  <c r="N54" i="21"/>
  <c r="N52" i="21"/>
  <c r="N45" i="21"/>
  <c r="P7" i="21"/>
  <c r="T7" i="21" s="1"/>
  <c r="F46" i="21"/>
  <c r="M3" i="22" s="1"/>
  <c r="AA3" i="22" s="1"/>
  <c r="P45" i="21"/>
  <c r="R4" i="21"/>
  <c r="P47" i="21"/>
  <c r="N4" i="22" s="1"/>
  <c r="P46" i="21"/>
  <c r="N3" i="22" s="1"/>
  <c r="N49" i="21"/>
  <c r="P6" i="21"/>
  <c r="T6" i="21" s="1"/>
  <c r="N48" i="21"/>
  <c r="N35" i="22" s="1"/>
  <c r="M4" i="22"/>
  <c r="M57" i="22"/>
  <c r="W4" i="21"/>
  <c r="AI4" i="21" s="1"/>
  <c r="M54" i="22"/>
  <c r="L522" i="35"/>
  <c r="L289" i="35"/>
  <c r="L570" i="35"/>
  <c r="L472" i="35"/>
  <c r="J501" i="35"/>
  <c r="P149" i="36" s="1"/>
  <c r="C93" i="38"/>
  <c r="H93" i="38" s="1"/>
  <c r="J642" i="35"/>
  <c r="P1167" i="36" s="1"/>
  <c r="J646" i="35"/>
  <c r="P1171" i="36" s="1"/>
  <c r="J650" i="35"/>
  <c r="P1175" i="36" s="1"/>
  <c r="J643" i="35"/>
  <c r="P1168" i="36" s="1"/>
  <c r="J647" i="35"/>
  <c r="P1172" i="36" s="1"/>
  <c r="J651" i="35"/>
  <c r="P1176" i="36" s="1"/>
  <c r="J644" i="35"/>
  <c r="P1169" i="36" s="1"/>
  <c r="J648" i="35"/>
  <c r="P1173" i="36" s="1"/>
  <c r="J641" i="35"/>
  <c r="P1166" i="36" s="1"/>
  <c r="J645" i="35"/>
  <c r="P1170" i="36" s="1"/>
  <c r="J649" i="35"/>
  <c r="P1174" i="36" s="1"/>
  <c r="C501" i="38"/>
  <c r="H497" i="38"/>
  <c r="C467" i="38"/>
  <c r="C265" i="38"/>
  <c r="H265" i="38" s="1"/>
  <c r="C261" i="38"/>
  <c r="C257" i="38"/>
  <c r="C278" i="38"/>
  <c r="C213" i="38"/>
  <c r="E213" i="38" s="1"/>
  <c r="C275" i="38"/>
  <c r="C267" i="38"/>
  <c r="E267" i="38" s="1"/>
  <c r="C329" i="38"/>
  <c r="C325" i="38"/>
  <c r="C321" i="38"/>
  <c r="H321" i="38" s="1"/>
  <c r="C110" i="38"/>
  <c r="E110" i="38" s="1"/>
  <c r="C106" i="38"/>
  <c r="H106" i="38" s="1"/>
  <c r="C102" i="38"/>
  <c r="E102" i="38" s="1"/>
  <c r="C32" i="38"/>
  <c r="C28" i="38"/>
  <c r="H28" i="38" s="1"/>
  <c r="C24" i="38"/>
  <c r="C372" i="38"/>
  <c r="C368" i="38"/>
  <c r="C484" i="38"/>
  <c r="C480" i="38"/>
  <c r="H480" i="38" s="1"/>
  <c r="C476" i="38"/>
  <c r="H476" i="38" s="1"/>
  <c r="C142" i="38"/>
  <c r="C138" i="38"/>
  <c r="C134" i="38"/>
  <c r="H134" i="38" s="1"/>
  <c r="C423" i="38"/>
  <c r="H423" i="38" s="1"/>
  <c r="C195" i="38"/>
  <c r="C191" i="38"/>
  <c r="H191" i="38" s="1"/>
  <c r="C88" i="38"/>
  <c r="E88" i="38" s="1"/>
  <c r="C84" i="38"/>
  <c r="H84" i="38" s="1"/>
  <c r="C80" i="38"/>
  <c r="E80" i="38" s="1"/>
  <c r="C186" i="38"/>
  <c r="C178" i="38"/>
  <c r="C38" i="38"/>
  <c r="C446" i="38"/>
  <c r="H446" i="38" s="1"/>
  <c r="C416" i="38"/>
  <c r="H416" i="38" s="1"/>
  <c r="C294" i="38"/>
  <c r="E294" i="38" s="1"/>
  <c r="C311" i="38"/>
  <c r="E311" i="38" s="1"/>
  <c r="C164" i="38"/>
  <c r="E164" i="38" s="1"/>
  <c r="C160" i="38"/>
  <c r="E160" i="38" s="1"/>
  <c r="C383" i="38"/>
  <c r="H383" i="38" s="1"/>
  <c r="C379" i="38"/>
  <c r="C56" i="38"/>
  <c r="E56" i="38" s="1"/>
  <c r="C52" i="38"/>
  <c r="H52" i="38" s="1"/>
  <c r="C48" i="38"/>
  <c r="H48" i="38" s="1"/>
  <c r="C304" i="38"/>
  <c r="C300" i="38"/>
  <c r="E300" i="38" s="1"/>
  <c r="C247" i="38"/>
  <c r="E247" i="38" s="1"/>
  <c r="C405" i="38"/>
  <c r="E405" i="38" s="1"/>
  <c r="C401" i="38"/>
  <c r="C349" i="38"/>
  <c r="E349" i="38" s="1"/>
  <c r="C345" i="38"/>
  <c r="C328" i="38"/>
  <c r="H328" i="38" s="1"/>
  <c r="C105" i="38"/>
  <c r="C101" i="38"/>
  <c r="E101" i="38" s="1"/>
  <c r="C371" i="38"/>
  <c r="H371" i="38" s="1"/>
  <c r="C483" i="38"/>
  <c r="C141" i="38"/>
  <c r="H141" i="38" s="1"/>
  <c r="C194" i="38"/>
  <c r="E194" i="38" s="1"/>
  <c r="C185" i="38"/>
  <c r="E185" i="38" s="1"/>
  <c r="C293" i="38"/>
  <c r="E293" i="38" s="1"/>
  <c r="C318" i="38"/>
  <c r="C314" i="38"/>
  <c r="C159" i="38"/>
  <c r="E159" i="38" s="1"/>
  <c r="C47" i="38"/>
  <c r="E47" i="38" s="1"/>
  <c r="C303" i="38"/>
  <c r="C254" i="38"/>
  <c r="E254" i="38" s="1"/>
  <c r="C250" i="38"/>
  <c r="L644" i="35"/>
  <c r="L648" i="35"/>
  <c r="L641" i="35"/>
  <c r="L645" i="35"/>
  <c r="L649" i="35"/>
  <c r="L642" i="35"/>
  <c r="L646" i="35"/>
  <c r="L650" i="35"/>
  <c r="L643" i="35"/>
  <c r="L647" i="35"/>
  <c r="L651" i="35"/>
  <c r="C114" i="38"/>
  <c r="C152" i="38"/>
  <c r="C397" i="38"/>
  <c r="C393" i="38"/>
  <c r="H393" i="38" s="1"/>
  <c r="C389" i="38"/>
  <c r="C77" i="38"/>
  <c r="H77" i="38" s="1"/>
  <c r="C73" i="38"/>
  <c r="C69" i="38"/>
  <c r="C434" i="38"/>
  <c r="E434" i="38" s="1"/>
  <c r="C288" i="38"/>
  <c r="N642" i="35"/>
  <c r="N646" i="35"/>
  <c r="N650" i="35"/>
  <c r="N643" i="35"/>
  <c r="N647" i="35"/>
  <c r="N651" i="35"/>
  <c r="N644" i="35"/>
  <c r="N648" i="35"/>
  <c r="N641" i="35"/>
  <c r="N645" i="35"/>
  <c r="N649" i="35"/>
  <c r="N42" i="35"/>
  <c r="N37" i="35"/>
  <c r="J155" i="35"/>
  <c r="P276" i="36" s="1"/>
  <c r="J27" i="35"/>
  <c r="P500" i="36" s="1"/>
  <c r="AA61" i="22"/>
  <c r="AA22" i="22"/>
  <c r="H409" i="35" s="1"/>
  <c r="E1047" i="36" s="1"/>
  <c r="N1047" i="36" s="1"/>
  <c r="N55" i="22"/>
  <c r="AB55" i="22" s="1"/>
  <c r="AA64" i="22"/>
  <c r="AA62" i="22"/>
  <c r="AA12" i="22"/>
  <c r="AA63" i="22"/>
  <c r="AA8" i="22"/>
  <c r="H288" i="35" s="1"/>
  <c r="E409" i="36" s="1"/>
  <c r="N409" i="36" s="1"/>
  <c r="AA60" i="22"/>
  <c r="AA59" i="22"/>
  <c r="P115" i="36"/>
  <c r="P423" i="36"/>
  <c r="P172" i="36"/>
  <c r="P139" i="36"/>
  <c r="P98" i="36"/>
  <c r="P99" i="36"/>
  <c r="P119" i="36"/>
  <c r="P521" i="36"/>
  <c r="P155" i="36"/>
  <c r="P94" i="36"/>
  <c r="P114" i="36"/>
  <c r="P532" i="36"/>
  <c r="P599" i="36"/>
  <c r="P298" i="36"/>
  <c r="P345" i="36"/>
  <c r="P477" i="36"/>
  <c r="P203" i="36"/>
  <c r="P191" i="36"/>
  <c r="P118" i="36"/>
  <c r="P122" i="36"/>
  <c r="P106" i="36"/>
  <c r="P90" i="36"/>
  <c r="P95" i="36"/>
  <c r="P91" i="36"/>
  <c r="P97" i="36"/>
  <c r="P113" i="36"/>
  <c r="P753" i="36"/>
  <c r="P329" i="36"/>
  <c r="P117" i="36"/>
  <c r="P498" i="36"/>
  <c r="P129" i="36"/>
  <c r="P121" i="36"/>
  <c r="P360" i="36"/>
  <c r="P584" i="36"/>
  <c r="P275" i="36"/>
  <c r="P730" i="36"/>
  <c r="L477" i="35"/>
  <c r="L524" i="35"/>
  <c r="J443" i="35"/>
  <c r="P168" i="36" s="1"/>
  <c r="L475" i="35"/>
  <c r="L185" i="35"/>
  <c r="L572" i="35"/>
  <c r="L412" i="35"/>
  <c r="L305" i="35"/>
  <c r="L523" i="35"/>
  <c r="J453" i="35"/>
  <c r="P321" i="36" s="1"/>
  <c r="L217" i="35"/>
  <c r="E118" i="38"/>
  <c r="E490" i="38"/>
  <c r="E274" i="38"/>
  <c r="N631" i="35"/>
  <c r="N635" i="35"/>
  <c r="N639" i="35"/>
  <c r="N632" i="35"/>
  <c r="N636" i="35"/>
  <c r="N640" i="35"/>
  <c r="N630" i="35"/>
  <c r="N634" i="35"/>
  <c r="N638" i="35"/>
  <c r="N633" i="35"/>
  <c r="N637" i="35"/>
  <c r="H331" i="38"/>
  <c r="E337" i="38"/>
  <c r="H108" i="38"/>
  <c r="E104" i="38"/>
  <c r="H34" i="38"/>
  <c r="E26" i="38"/>
  <c r="E374" i="38"/>
  <c r="H136" i="38"/>
  <c r="H429" i="38"/>
  <c r="H197" i="38"/>
  <c r="H193" i="38"/>
  <c r="H82" i="38"/>
  <c r="E188" i="38"/>
  <c r="H184" i="38"/>
  <c r="H36" i="38"/>
  <c r="H448" i="38"/>
  <c r="H414" i="38"/>
  <c r="H296" i="38"/>
  <c r="E292" i="38"/>
  <c r="E158" i="38"/>
  <c r="E385" i="38"/>
  <c r="H377" i="38"/>
  <c r="E54" i="38"/>
  <c r="H50" i="38"/>
  <c r="E46" i="38"/>
  <c r="H245" i="38"/>
  <c r="J631" i="35"/>
  <c r="P1135" i="36" s="1"/>
  <c r="J635" i="35"/>
  <c r="P1139" i="36" s="1"/>
  <c r="J639" i="35"/>
  <c r="P1143" i="36" s="1"/>
  <c r="J632" i="35"/>
  <c r="P1136" i="36" s="1"/>
  <c r="J636" i="35"/>
  <c r="P1140" i="36" s="1"/>
  <c r="J640" i="35"/>
  <c r="P1144" i="36" s="1"/>
  <c r="J630" i="35"/>
  <c r="P1134" i="36" s="1"/>
  <c r="J634" i="35"/>
  <c r="P1138" i="36" s="1"/>
  <c r="J638" i="35"/>
  <c r="P1142" i="36" s="1"/>
  <c r="J633" i="35"/>
  <c r="P1137" i="36" s="1"/>
  <c r="J637" i="35"/>
  <c r="P1141" i="36" s="1"/>
  <c r="E221" i="38"/>
  <c r="E222" i="38"/>
  <c r="E126" i="38"/>
  <c r="H68" i="38"/>
  <c r="H433" i="38"/>
  <c r="H462" i="38"/>
  <c r="H458" i="38"/>
  <c r="L291" i="35"/>
  <c r="L409" i="35"/>
  <c r="L464" i="35"/>
  <c r="L478" i="35"/>
  <c r="L564" i="35"/>
  <c r="L411" i="35"/>
  <c r="L137" i="35"/>
  <c r="L527" i="35"/>
  <c r="L633" i="35"/>
  <c r="L637" i="35"/>
  <c r="L630" i="35"/>
  <c r="L634" i="35"/>
  <c r="L638" i="35"/>
  <c r="L632" i="35"/>
  <c r="L636" i="35"/>
  <c r="L640" i="35"/>
  <c r="L639" i="35"/>
  <c r="L635" i="35"/>
  <c r="L631" i="35"/>
  <c r="H469" i="38"/>
  <c r="H225" i="38"/>
  <c r="E125" i="38"/>
  <c r="H238" i="38"/>
  <c r="H234" i="38"/>
  <c r="E61" i="38"/>
  <c r="H100" i="38"/>
  <c r="H176" i="38"/>
  <c r="E172" i="38"/>
  <c r="E168" i="38"/>
  <c r="E402" i="38"/>
  <c r="H350" i="38"/>
  <c r="H491" i="38"/>
  <c r="E68" i="38"/>
  <c r="H46" i="38"/>
  <c r="E36" i="38"/>
  <c r="E50" i="38"/>
  <c r="E452" i="38"/>
  <c r="H54" i="38"/>
  <c r="E180" i="38"/>
  <c r="E245" i="38"/>
  <c r="E346" i="38"/>
  <c r="H30" i="38"/>
  <c r="E366" i="38"/>
  <c r="E85" i="38"/>
  <c r="E179" i="38"/>
  <c r="E317" i="38"/>
  <c r="E306" i="38"/>
  <c r="H210" i="38"/>
  <c r="E65" i="38"/>
  <c r="H57" i="38"/>
  <c r="L530" i="35"/>
  <c r="L397" i="35"/>
  <c r="L486" i="35"/>
  <c r="J370" i="35"/>
  <c r="P700" i="36" s="1"/>
  <c r="J205" i="35"/>
  <c r="P986" i="36" s="1"/>
  <c r="E176" i="38"/>
  <c r="E218" i="38"/>
  <c r="H98" i="38"/>
  <c r="H94" i="38"/>
  <c r="H450" i="38"/>
  <c r="H298" i="38"/>
  <c r="H305" i="38"/>
  <c r="N38" i="35"/>
  <c r="N39" i="35"/>
  <c r="N485" i="35"/>
  <c r="H262" i="38"/>
  <c r="E258" i="38"/>
  <c r="L364" i="35"/>
  <c r="L175" i="35"/>
  <c r="E34" i="38"/>
  <c r="E130" i="38"/>
  <c r="E66" i="38"/>
  <c r="H58" i="38"/>
  <c r="E407" i="38"/>
  <c r="H486" i="38"/>
  <c r="E422" i="38"/>
  <c r="E83" i="38"/>
  <c r="E37" i="38"/>
  <c r="H308" i="38"/>
  <c r="N45" i="35"/>
  <c r="N35" i="35"/>
  <c r="J77" i="35"/>
  <c r="P539" i="36" s="1"/>
  <c r="U4" i="21"/>
  <c r="AG4" i="21" s="1"/>
  <c r="J241" i="35"/>
  <c r="P351" i="36" s="1"/>
  <c r="J536" i="35"/>
  <c r="P888" i="36" s="1"/>
  <c r="AA4" i="21"/>
  <c r="J271" i="35"/>
  <c r="P601" i="36" s="1"/>
  <c r="Q45" i="21"/>
  <c r="J371" i="35"/>
  <c r="P701" i="36" s="1"/>
  <c r="J5" i="35"/>
  <c r="J482" i="35"/>
  <c r="P295" i="36" s="1"/>
  <c r="J238" i="35"/>
  <c r="P348" i="36" s="1"/>
  <c r="J483" i="35"/>
  <c r="P296" i="36" s="1"/>
  <c r="J365" i="35"/>
  <c r="P684" i="36" s="1"/>
  <c r="J397" i="35"/>
  <c r="P133" i="36" s="1"/>
  <c r="J49" i="35"/>
  <c r="P1148" i="36" s="1"/>
  <c r="J111" i="35"/>
  <c r="P859" i="36" s="1"/>
  <c r="J236" i="35"/>
  <c r="P346" i="36" s="1"/>
  <c r="J481" i="35"/>
  <c r="P294" i="36" s="1"/>
  <c r="J272" i="35"/>
  <c r="P602" i="36" s="1"/>
  <c r="J404" i="35"/>
  <c r="P613" i="36" s="1"/>
  <c r="J83" i="35"/>
  <c r="P479" i="36" s="1"/>
  <c r="J125" i="35"/>
  <c r="P939" i="36" s="1"/>
  <c r="J108" i="35"/>
  <c r="P856" i="36" s="1"/>
  <c r="H45" i="21"/>
  <c r="H54" i="21"/>
  <c r="H46" i="21"/>
  <c r="M2" i="22" s="1"/>
  <c r="AA2" i="22" s="1"/>
  <c r="H53" i="21"/>
  <c r="H48" i="21"/>
  <c r="Q46" i="21"/>
  <c r="N2" i="22" s="1"/>
  <c r="M7" i="21"/>
  <c r="V7" i="21" s="1"/>
  <c r="AH7" i="21" s="1"/>
  <c r="H52" i="21"/>
  <c r="Q48" i="21"/>
  <c r="H49" i="21"/>
  <c r="H51" i="21"/>
  <c r="H47" i="21"/>
  <c r="M55" i="22" s="1"/>
  <c r="AA55" i="22" s="1"/>
  <c r="M6" i="21"/>
  <c r="M4" i="21"/>
  <c r="V4" i="21" s="1"/>
  <c r="AH4" i="21" s="1"/>
  <c r="H50" i="21"/>
  <c r="J265" i="35"/>
  <c r="P199" i="36" s="1"/>
  <c r="J89" i="35"/>
  <c r="P485" i="36" s="1"/>
  <c r="J52" i="35"/>
  <c r="J101" i="35"/>
  <c r="P849" i="36" s="1"/>
  <c r="J398" i="35"/>
  <c r="P607" i="36" s="1"/>
  <c r="J396" i="35"/>
  <c r="P132" i="36" s="1"/>
  <c r="J78" i="35"/>
  <c r="P540" i="36" s="1"/>
  <c r="J55" i="35"/>
  <c r="J24" i="35"/>
  <c r="P497" i="36" s="1"/>
  <c r="L462" i="35"/>
  <c r="L70" i="35"/>
  <c r="J6" i="35"/>
  <c r="P1236" i="36" s="1"/>
  <c r="J10" i="35"/>
  <c r="P1240" i="36" s="1"/>
  <c r="J11" i="35"/>
  <c r="J242" i="35"/>
  <c r="P55" i="36" s="1"/>
  <c r="J243" i="35"/>
  <c r="P56" i="36" s="1"/>
  <c r="J237" i="35"/>
  <c r="P50" i="36" s="1"/>
  <c r="J480" i="35"/>
  <c r="P293" i="36" s="1"/>
  <c r="J479" i="35"/>
  <c r="P292" i="36" s="1"/>
  <c r="J477" i="35"/>
  <c r="P290" i="36" s="1"/>
  <c r="J368" i="35"/>
  <c r="P687" i="36" s="1"/>
  <c r="J367" i="35"/>
  <c r="P686" i="36" s="1"/>
  <c r="J270" i="35"/>
  <c r="P600" i="36" s="1"/>
  <c r="J276" i="35"/>
  <c r="P606" i="36" s="1"/>
  <c r="J267" i="35"/>
  <c r="P597" i="36" s="1"/>
  <c r="J402" i="35"/>
  <c r="P611" i="36" s="1"/>
  <c r="J403" i="35"/>
  <c r="P612" i="36" s="1"/>
  <c r="J388" i="35"/>
  <c r="P124" i="36" s="1"/>
  <c r="J389" i="35"/>
  <c r="P125" i="36" s="1"/>
  <c r="J87" i="35"/>
  <c r="P483" i="36" s="1"/>
  <c r="J85" i="35"/>
  <c r="P481" i="36" s="1"/>
  <c r="J76" i="35"/>
  <c r="P538" i="36" s="1"/>
  <c r="J73" i="35"/>
  <c r="P535" i="36" s="1"/>
  <c r="J47" i="35"/>
  <c r="J50" i="35"/>
  <c r="J103" i="35"/>
  <c r="P851" i="36" s="1"/>
  <c r="J104" i="35"/>
  <c r="P852" i="36" s="1"/>
  <c r="J28" i="35"/>
  <c r="P501" i="36" s="1"/>
  <c r="J33" i="35"/>
  <c r="P506" i="36" s="1"/>
  <c r="J2" i="35"/>
  <c r="P1232" i="36" s="1"/>
  <c r="J8" i="35"/>
  <c r="J7" i="35"/>
  <c r="P1237" i="36" s="1"/>
  <c r="J234" i="35"/>
  <c r="P47" i="36" s="1"/>
  <c r="J239" i="35"/>
  <c r="P349" i="36" s="1"/>
  <c r="J233" i="35"/>
  <c r="P343" i="36" s="1"/>
  <c r="J484" i="35"/>
  <c r="P297" i="36" s="1"/>
  <c r="J475" i="35"/>
  <c r="P288" i="36" s="1"/>
  <c r="J366" i="35"/>
  <c r="P696" i="36" s="1"/>
  <c r="J372" i="35"/>
  <c r="P702" i="36" s="1"/>
  <c r="J373" i="35"/>
  <c r="P692" i="36" s="1"/>
  <c r="J274" i="35"/>
  <c r="P604" i="36" s="1"/>
  <c r="J268" i="35"/>
  <c r="P598" i="36" s="1"/>
  <c r="J273" i="35"/>
  <c r="P603" i="36" s="1"/>
  <c r="J408" i="35"/>
  <c r="P617" i="36" s="1"/>
  <c r="J399" i="35"/>
  <c r="P608" i="36" s="1"/>
  <c r="J390" i="35"/>
  <c r="P126" i="36" s="1"/>
  <c r="J391" i="35"/>
  <c r="P127" i="36" s="1"/>
  <c r="J84" i="35"/>
  <c r="P480" i="36" s="1"/>
  <c r="J82" i="35"/>
  <c r="P478" i="36" s="1"/>
  <c r="J74" i="35"/>
  <c r="P536" i="36" s="1"/>
  <c r="J71" i="35"/>
  <c r="P533" i="36" s="1"/>
  <c r="J69" i="35"/>
  <c r="P531" i="36" s="1"/>
  <c r="J56" i="35"/>
  <c r="J48" i="35"/>
  <c r="J107" i="35"/>
  <c r="P855" i="36" s="1"/>
  <c r="J106" i="35"/>
  <c r="P854" i="36" s="1"/>
  <c r="J34" i="35"/>
  <c r="P507" i="36" s="1"/>
  <c r="J29" i="35"/>
  <c r="P502" i="36" s="1"/>
  <c r="J12" i="35"/>
  <c r="J9" i="35"/>
  <c r="J240" i="35"/>
  <c r="P53" i="36" s="1"/>
  <c r="J478" i="35"/>
  <c r="P291" i="36" s="1"/>
  <c r="J476" i="35"/>
  <c r="P289" i="36" s="1"/>
  <c r="J374" i="35"/>
  <c r="P693" i="36" s="1"/>
  <c r="J375" i="35"/>
  <c r="P694" i="36" s="1"/>
  <c r="J266" i="35"/>
  <c r="P596" i="36" s="1"/>
  <c r="J275" i="35"/>
  <c r="P605" i="36" s="1"/>
  <c r="J406" i="35"/>
  <c r="P615" i="36" s="1"/>
  <c r="J400" i="35"/>
  <c r="P609" i="36" s="1"/>
  <c r="J405" i="35"/>
  <c r="P614" i="36" s="1"/>
  <c r="J392" i="35"/>
  <c r="P128" i="36" s="1"/>
  <c r="J387" i="35"/>
  <c r="P123" i="36" s="1"/>
  <c r="J79" i="35"/>
  <c r="P475" i="36" s="1"/>
  <c r="J80" i="35"/>
  <c r="P476" i="36" s="1"/>
  <c r="J68" i="35"/>
  <c r="P530" i="36" s="1"/>
  <c r="J75" i="35"/>
  <c r="P537" i="36" s="1"/>
  <c r="J46" i="35"/>
  <c r="J53" i="35"/>
  <c r="J109" i="35"/>
  <c r="P857" i="36" s="1"/>
  <c r="J102" i="35"/>
  <c r="P850" i="36" s="1"/>
  <c r="J26" i="35"/>
  <c r="P499" i="36" s="1"/>
  <c r="J31" i="35"/>
  <c r="P504" i="36" s="1"/>
  <c r="Z7" i="21"/>
  <c r="T48" i="21"/>
  <c r="T49" i="21"/>
  <c r="T51" i="21"/>
  <c r="T47" i="21"/>
  <c r="N16" i="22" s="1"/>
  <c r="T45" i="21"/>
  <c r="T53" i="21"/>
  <c r="T50" i="21"/>
  <c r="T54" i="21"/>
  <c r="L46" i="21"/>
  <c r="M26" i="22" s="1"/>
  <c r="L50" i="21"/>
  <c r="L51" i="21"/>
  <c r="L47" i="21"/>
  <c r="L54" i="21"/>
  <c r="L52" i="21"/>
  <c r="J90" i="35"/>
  <c r="P750" i="36" s="1"/>
  <c r="J356" i="35"/>
  <c r="P103" i="36" s="1"/>
  <c r="J144" i="35"/>
  <c r="P67" i="36" s="1"/>
  <c r="J279" i="35"/>
  <c r="P576" i="36" s="1"/>
  <c r="J384" i="35"/>
  <c r="P263" i="36" s="1"/>
  <c r="P381" i="36"/>
  <c r="J442" i="35"/>
  <c r="P167" i="36" s="1"/>
  <c r="J458" i="35"/>
  <c r="P326" i="36" s="1"/>
  <c r="J220" i="35"/>
  <c r="P1045" i="36" s="1"/>
  <c r="J518" i="35"/>
  <c r="P430" i="36" s="1"/>
  <c r="J334" i="35"/>
  <c r="P829" i="36" s="1"/>
  <c r="J245" i="35"/>
  <c r="P135" i="36" s="1"/>
  <c r="J421" i="35"/>
  <c r="P223" i="36" s="1"/>
  <c r="J224" i="35"/>
  <c r="P653" i="36" s="1"/>
  <c r="L46" i="35"/>
  <c r="P699" i="36"/>
  <c r="P116" i="36"/>
  <c r="P256" i="36"/>
  <c r="P92" i="36"/>
  <c r="P120" i="36"/>
  <c r="P1011" i="36"/>
  <c r="P915" i="36"/>
  <c r="P401" i="36"/>
  <c r="L120" i="35"/>
  <c r="L539" i="35"/>
  <c r="L430" i="35"/>
  <c r="L388" i="35"/>
  <c r="L237" i="35"/>
  <c r="L56" i="35"/>
  <c r="L359" i="35"/>
  <c r="L336" i="35"/>
  <c r="L231" i="35"/>
  <c r="L395" i="35"/>
  <c r="L167" i="35"/>
  <c r="L239" i="35"/>
  <c r="L531" i="35"/>
  <c r="L357" i="35"/>
  <c r="L422" i="35"/>
  <c r="W7" i="21"/>
  <c r="L394" i="35"/>
  <c r="L168" i="35"/>
  <c r="L170" i="35"/>
  <c r="L236" i="35"/>
  <c r="L242" i="35"/>
  <c r="L257" i="35"/>
  <c r="L94" i="35"/>
  <c r="L506" i="35"/>
  <c r="L19" i="35"/>
  <c r="L536" i="35"/>
  <c r="L492" i="35"/>
  <c r="L491" i="35"/>
  <c r="L51" i="35"/>
  <c r="L127" i="35"/>
  <c r="L39" i="35"/>
  <c r="L355" i="35"/>
  <c r="L377" i="35"/>
  <c r="L160" i="35"/>
  <c r="L339" i="35"/>
  <c r="L232" i="35"/>
  <c r="L226" i="35"/>
  <c r="L152" i="35"/>
  <c r="L425" i="35"/>
  <c r="L424" i="35"/>
  <c r="L172" i="35"/>
  <c r="L540" i="35"/>
  <c r="L489" i="35"/>
  <c r="L48" i="35"/>
  <c r="L36" i="35"/>
  <c r="L356" i="35"/>
  <c r="L337" i="35"/>
  <c r="L223" i="35"/>
  <c r="L391" i="35"/>
  <c r="L396" i="35"/>
  <c r="L169" i="35"/>
  <c r="L5" i="35"/>
  <c r="L241" i="35"/>
  <c r="L234" i="35"/>
  <c r="L273" i="35"/>
  <c r="L255" i="35"/>
  <c r="L505" i="35"/>
  <c r="L14" i="35"/>
  <c r="L537" i="35"/>
  <c r="L488" i="35"/>
  <c r="L53" i="35"/>
  <c r="L54" i="35"/>
  <c r="L45" i="35"/>
  <c r="L42" i="35"/>
  <c r="L358" i="35"/>
  <c r="L382" i="35"/>
  <c r="L158" i="35"/>
  <c r="L225" i="35"/>
  <c r="L147" i="35"/>
  <c r="L421" i="35"/>
  <c r="L441" i="35"/>
  <c r="L482" i="35"/>
  <c r="L288" i="35"/>
  <c r="L298" i="35"/>
  <c r="L28" i="35"/>
  <c r="L448" i="35"/>
  <c r="L179" i="35"/>
  <c r="L432" i="35"/>
  <c r="L571" i="35"/>
  <c r="L566" i="35"/>
  <c r="L418" i="35"/>
  <c r="L402" i="35"/>
  <c r="L135" i="35"/>
  <c r="L526" i="35"/>
  <c r="L471" i="35"/>
  <c r="L111" i="35"/>
  <c r="L215" i="35"/>
  <c r="L449" i="35"/>
  <c r="L476" i="35"/>
  <c r="L297" i="35"/>
  <c r="L248" i="35"/>
  <c r="L180" i="35"/>
  <c r="L178" i="35"/>
  <c r="L60" i="35"/>
  <c r="L513" i="35"/>
  <c r="L567" i="35"/>
  <c r="L417" i="35"/>
  <c r="L416" i="35"/>
  <c r="L138" i="35"/>
  <c r="L529" i="35"/>
  <c r="L465" i="35"/>
  <c r="L103" i="35"/>
  <c r="L73" i="35"/>
  <c r="L220" i="35"/>
  <c r="L211" i="35"/>
  <c r="L250" i="35"/>
  <c r="L389" i="35"/>
  <c r="L390" i="35"/>
  <c r="L29" i="35"/>
  <c r="L176" i="35"/>
  <c r="L173" i="35"/>
  <c r="L174" i="35"/>
  <c r="L233" i="35"/>
  <c r="L235" i="35"/>
  <c r="L450" i="35"/>
  <c r="L115" i="35"/>
  <c r="L196" i="35"/>
  <c r="L532" i="35"/>
  <c r="L533" i="35"/>
  <c r="L490" i="35"/>
  <c r="L494" i="35"/>
  <c r="L495" i="35"/>
  <c r="L49" i="35"/>
  <c r="L55" i="35"/>
  <c r="L50" i="35"/>
  <c r="L438" i="35"/>
  <c r="L41" i="35"/>
  <c r="L43" i="35"/>
  <c r="L38" i="35"/>
  <c r="L363" i="35"/>
  <c r="L354" i="35"/>
  <c r="L332" i="35"/>
  <c r="L224" i="35"/>
  <c r="L229" i="35"/>
  <c r="L230" i="35"/>
  <c r="L75" i="35"/>
  <c r="L429" i="35"/>
  <c r="L426" i="35"/>
  <c r="L420" i="35"/>
  <c r="L393" i="35"/>
  <c r="L387" i="35"/>
  <c r="L34" i="35"/>
  <c r="L177" i="35"/>
  <c r="L240" i="35"/>
  <c r="L243" i="35"/>
  <c r="L538" i="35"/>
  <c r="L534" i="35"/>
  <c r="L496" i="35"/>
  <c r="L493" i="35"/>
  <c r="L52" i="35"/>
  <c r="L287" i="35"/>
  <c r="L512" i="35"/>
  <c r="L37" i="35"/>
  <c r="L40" i="35"/>
  <c r="L361" i="35"/>
  <c r="L362" i="35"/>
  <c r="L341" i="35"/>
  <c r="L335" i="35"/>
  <c r="L228" i="35"/>
  <c r="L227" i="35"/>
  <c r="L423" i="35"/>
  <c r="L427" i="35"/>
  <c r="L249" i="35"/>
  <c r="L25" i="35"/>
  <c r="L24" i="35"/>
  <c r="L30" i="35"/>
  <c r="L445" i="35"/>
  <c r="L446" i="35"/>
  <c r="L444" i="35"/>
  <c r="L117" i="35"/>
  <c r="L116" i="35"/>
  <c r="L122" i="35"/>
  <c r="L63" i="35"/>
  <c r="L197" i="35"/>
  <c r="L433" i="35"/>
  <c r="L434" i="35"/>
  <c r="L514" i="35"/>
  <c r="L518" i="35"/>
  <c r="L509" i="35"/>
  <c r="L456" i="35"/>
  <c r="L76" i="35"/>
  <c r="L71" i="35"/>
  <c r="L485" i="35"/>
  <c r="L484" i="35"/>
  <c r="L483" i="35"/>
  <c r="L296" i="35"/>
  <c r="L293" i="35"/>
  <c r="L294" i="35"/>
  <c r="L245" i="35"/>
  <c r="L33" i="35"/>
  <c r="L31" i="35"/>
  <c r="L26" i="35"/>
  <c r="L451" i="35"/>
  <c r="L442" i="35"/>
  <c r="L188" i="35"/>
  <c r="L181" i="35"/>
  <c r="L186" i="35"/>
  <c r="L121" i="35"/>
  <c r="L112" i="35"/>
  <c r="L118" i="35"/>
  <c r="L61" i="35"/>
  <c r="L66" i="35"/>
  <c r="L199" i="35"/>
  <c r="L439" i="35"/>
  <c r="L437" i="35"/>
  <c r="L440" i="35"/>
  <c r="L516" i="35"/>
  <c r="L510" i="35"/>
  <c r="L515" i="35"/>
  <c r="L574" i="35"/>
  <c r="L565" i="35"/>
  <c r="L568" i="35"/>
  <c r="L563" i="35"/>
  <c r="L413" i="35"/>
  <c r="L414" i="35"/>
  <c r="L407" i="35"/>
  <c r="L408" i="35"/>
  <c r="L140" i="35"/>
  <c r="L300" i="35"/>
  <c r="L303" i="35"/>
  <c r="L528" i="35"/>
  <c r="L525" i="35"/>
  <c r="L519" i="35"/>
  <c r="L467" i="35"/>
  <c r="L109" i="35"/>
  <c r="L106" i="35"/>
  <c r="L69" i="35"/>
  <c r="L72" i="35"/>
  <c r="L78" i="35"/>
  <c r="L216" i="35"/>
  <c r="L213" i="35"/>
  <c r="L218" i="35"/>
  <c r="L481" i="35"/>
  <c r="L480" i="35"/>
  <c r="L292" i="35"/>
  <c r="L295" i="35"/>
  <c r="L32" i="35"/>
  <c r="L447" i="35"/>
  <c r="L443" i="35"/>
  <c r="L184" i="35"/>
  <c r="L187" i="35"/>
  <c r="L113" i="35"/>
  <c r="L119" i="35"/>
  <c r="L65" i="35"/>
  <c r="L431" i="35"/>
  <c r="L435" i="35"/>
  <c r="L508" i="35"/>
  <c r="L517" i="35"/>
  <c r="L569" i="35"/>
  <c r="L415" i="35"/>
  <c r="L419" i="35"/>
  <c r="L401" i="35"/>
  <c r="L309" i="35"/>
  <c r="L520" i="35"/>
  <c r="L77" i="35"/>
  <c r="L68" i="35"/>
  <c r="L212" i="35"/>
  <c r="L219" i="35"/>
  <c r="N33" i="22"/>
  <c r="AB33" i="22" s="1"/>
  <c r="M39" i="22"/>
  <c r="AA39" i="22" s="1"/>
  <c r="M34" i="22"/>
  <c r="AA34" i="22" s="1"/>
  <c r="H24" i="35" s="1"/>
  <c r="E508" i="36" s="1"/>
  <c r="N508" i="36" s="1"/>
  <c r="N40" i="22"/>
  <c r="M53" i="22"/>
  <c r="N24" i="22"/>
  <c r="N49" i="22"/>
  <c r="AB49" i="22" s="1"/>
  <c r="N5" i="22"/>
  <c r="N53" i="22"/>
  <c r="AB53" i="22" s="1"/>
  <c r="M29" i="22"/>
  <c r="AA29" i="22" s="1"/>
  <c r="M48" i="22"/>
  <c r="AA48" i="22" s="1"/>
  <c r="M30" i="22"/>
  <c r="AA30" i="22" s="1"/>
  <c r="M11" i="22"/>
  <c r="M19" i="22"/>
  <c r="AA19" i="22" s="1"/>
  <c r="M9" i="22"/>
  <c r="M49" i="22"/>
  <c r="M47" i="22"/>
  <c r="AA47" i="22" s="1"/>
  <c r="M32" i="22"/>
  <c r="AA32" i="22" s="1"/>
  <c r="O61" i="21"/>
  <c r="H585" i="35" s="1"/>
  <c r="E24" i="36" s="1"/>
  <c r="N24" i="36" s="1"/>
  <c r="I62" i="21"/>
  <c r="N47" i="22"/>
  <c r="I61" i="21"/>
  <c r="J450" i="35"/>
  <c r="P175" i="36" s="1"/>
  <c r="J355" i="35"/>
  <c r="P102" i="36" s="1"/>
  <c r="J215" i="35"/>
  <c r="P1040" i="36" s="1"/>
  <c r="J250" i="35"/>
  <c r="P140" i="36" s="1"/>
  <c r="J130" i="35"/>
  <c r="P944" i="36" s="1"/>
  <c r="J168" i="35"/>
  <c r="P454" i="36" s="1"/>
  <c r="J379" i="35"/>
  <c r="P258" i="36" s="1"/>
  <c r="L614" i="35"/>
  <c r="L617" i="35"/>
  <c r="L610" i="35"/>
  <c r="L613" i="35"/>
  <c r="L615" i="35"/>
  <c r="H334" i="38"/>
  <c r="N215" i="35"/>
  <c r="N216" i="35"/>
  <c r="J92" i="35"/>
  <c r="P752" i="36" s="1"/>
  <c r="J449" i="35"/>
  <c r="P174" i="36" s="1"/>
  <c r="J463" i="35"/>
  <c r="P331" i="36" s="1"/>
  <c r="J516" i="35"/>
  <c r="P428" i="36" s="1"/>
  <c r="J98" i="35"/>
  <c r="P758" i="36" s="1"/>
  <c r="J96" i="35"/>
  <c r="P756" i="36" s="1"/>
  <c r="J452" i="35"/>
  <c r="P177" i="36" s="1"/>
  <c r="J117" i="35"/>
  <c r="P931" i="36" s="1"/>
  <c r="J362" i="35"/>
  <c r="P109" i="36" s="1"/>
  <c r="J361" i="35"/>
  <c r="P108" i="36" s="1"/>
  <c r="J459" i="35"/>
  <c r="P327" i="36" s="1"/>
  <c r="J211" i="35"/>
  <c r="P1036" i="36" s="1"/>
  <c r="J248" i="35"/>
  <c r="P138" i="36" s="1"/>
  <c r="J517" i="35"/>
  <c r="P429" i="36" s="1"/>
  <c r="J426" i="35"/>
  <c r="P228" i="36" s="1"/>
  <c r="J167" i="35"/>
  <c r="P453" i="36" s="1"/>
  <c r="E276" i="38"/>
  <c r="J99" i="35"/>
  <c r="P759" i="36" s="1"/>
  <c r="J358" i="35"/>
  <c r="P105" i="36" s="1"/>
  <c r="J535" i="35"/>
  <c r="P887" i="36" s="1"/>
  <c r="J100" i="35"/>
  <c r="P760" i="36" s="1"/>
  <c r="J91" i="35"/>
  <c r="P751" i="36" s="1"/>
  <c r="J444" i="35"/>
  <c r="P169" i="36" s="1"/>
  <c r="J502" i="35"/>
  <c r="P150" i="36" s="1"/>
  <c r="J364" i="35"/>
  <c r="P111" i="36" s="1"/>
  <c r="J454" i="35"/>
  <c r="P322" i="36" s="1"/>
  <c r="J457" i="35"/>
  <c r="P325" i="36" s="1"/>
  <c r="J216" i="35"/>
  <c r="P1041" i="36" s="1"/>
  <c r="J213" i="35"/>
  <c r="P1038" i="36" s="1"/>
  <c r="J251" i="35"/>
  <c r="P141" i="36" s="1"/>
  <c r="J318" i="35"/>
  <c r="P626" i="36" s="1"/>
  <c r="J131" i="35"/>
  <c r="P945" i="36" s="1"/>
  <c r="J427" i="35"/>
  <c r="P229" i="36" s="1"/>
  <c r="J39" i="35"/>
  <c r="H342" i="38"/>
  <c r="E313" i="38"/>
  <c r="H301" i="38"/>
  <c r="H289" i="38"/>
  <c r="E269" i="38"/>
  <c r="H217" i="38"/>
  <c r="E209" i="38"/>
  <c r="H201" i="38"/>
  <c r="H137" i="38"/>
  <c r="E109" i="38"/>
  <c r="E81" i="38"/>
  <c r="E29" i="38"/>
  <c r="E25" i="38"/>
  <c r="E479" i="38"/>
  <c r="E439" i="38"/>
  <c r="E435" i="38"/>
  <c r="E431" i="38"/>
  <c r="H415" i="38"/>
  <c r="E395" i="38"/>
  <c r="E363" i="38"/>
  <c r="E355" i="38"/>
  <c r="E351" i="38"/>
  <c r="E347" i="38"/>
  <c r="E343" i="38"/>
  <c r="E339" i="38"/>
  <c r="H323" i="38"/>
  <c r="E219" i="38"/>
  <c r="E143" i="38"/>
  <c r="E139" i="38"/>
  <c r="E107" i="38"/>
  <c r="H103" i="38"/>
  <c r="E67" i="38"/>
  <c r="H43" i="38"/>
  <c r="N44" i="35"/>
  <c r="E342" i="38"/>
  <c r="E334" i="38"/>
  <c r="E322" i="38"/>
  <c r="H306" i="38"/>
  <c r="H270" i="38"/>
  <c r="P455" i="36"/>
  <c r="P466" i="36"/>
  <c r="J247" i="35"/>
  <c r="P137" i="36" s="1"/>
  <c r="J538" i="35"/>
  <c r="P890" i="36" s="1"/>
  <c r="J540" i="35"/>
  <c r="P892" i="36" s="1"/>
  <c r="J531" i="35"/>
  <c r="P883" i="36" s="1"/>
  <c r="J510" i="35"/>
  <c r="P422" i="36" s="1"/>
  <c r="J508" i="35"/>
  <c r="P420" i="36" s="1"/>
  <c r="J513" i="35"/>
  <c r="P425" i="36" s="1"/>
  <c r="J123" i="35"/>
  <c r="P937" i="36" s="1"/>
  <c r="J132" i="35"/>
  <c r="P946" i="36" s="1"/>
  <c r="J126" i="35"/>
  <c r="P940" i="36" s="1"/>
  <c r="J424" i="35"/>
  <c r="P226" i="36" s="1"/>
  <c r="J423" i="35"/>
  <c r="P225" i="36" s="1"/>
  <c r="J174" i="35"/>
  <c r="J172" i="35"/>
  <c r="P469" i="36" s="1"/>
  <c r="J177" i="35"/>
  <c r="P463" i="36" s="1"/>
  <c r="J382" i="35"/>
  <c r="P261" i="36" s="1"/>
  <c r="J376" i="35"/>
  <c r="P255" i="36" s="1"/>
  <c r="J385" i="35"/>
  <c r="P264" i="36" s="1"/>
  <c r="J97" i="35"/>
  <c r="P757" i="36" s="1"/>
  <c r="J446" i="35"/>
  <c r="P171" i="36" s="1"/>
  <c r="J451" i="35"/>
  <c r="P176" i="36" s="1"/>
  <c r="J445" i="35"/>
  <c r="P170" i="36" s="1"/>
  <c r="J354" i="35"/>
  <c r="P101" i="36" s="1"/>
  <c r="J363" i="35"/>
  <c r="P110" i="36" s="1"/>
  <c r="J357" i="35"/>
  <c r="P104" i="36" s="1"/>
  <c r="J456" i="35"/>
  <c r="P324" i="36" s="1"/>
  <c r="J455" i="35"/>
  <c r="P323" i="36" s="1"/>
  <c r="J214" i="35"/>
  <c r="P1039" i="36" s="1"/>
  <c r="J212" i="35"/>
  <c r="P1037" i="36" s="1"/>
  <c r="J221" i="35"/>
  <c r="P1046" i="36" s="1"/>
  <c r="J254" i="35"/>
  <c r="P144" i="36" s="1"/>
  <c r="J252" i="35"/>
  <c r="P142" i="36" s="1"/>
  <c r="J253" i="35"/>
  <c r="P143" i="36" s="1"/>
  <c r="J534" i="35"/>
  <c r="P886" i="36" s="1"/>
  <c r="J532" i="35"/>
  <c r="P884" i="36" s="1"/>
  <c r="J537" i="35"/>
  <c r="P889" i="36" s="1"/>
  <c r="J514" i="35"/>
  <c r="P426" i="36" s="1"/>
  <c r="J515" i="35"/>
  <c r="P427" i="36" s="1"/>
  <c r="J509" i="35"/>
  <c r="P421" i="36" s="1"/>
  <c r="J129" i="35"/>
  <c r="P943" i="36" s="1"/>
  <c r="J128" i="35"/>
  <c r="J422" i="35"/>
  <c r="P224" i="36" s="1"/>
  <c r="J428" i="35"/>
  <c r="P230" i="36" s="1"/>
  <c r="J429" i="35"/>
  <c r="P231" i="36" s="1"/>
  <c r="J170" i="35"/>
  <c r="J175" i="35"/>
  <c r="P472" i="36" s="1"/>
  <c r="J173" i="35"/>
  <c r="J378" i="35"/>
  <c r="P257" i="36" s="1"/>
  <c r="J380" i="35"/>
  <c r="P259" i="36" s="1"/>
  <c r="J381" i="35"/>
  <c r="P260" i="36" s="1"/>
  <c r="H113" i="38"/>
  <c r="AB36" i="22"/>
  <c r="J95" i="35"/>
  <c r="P755" i="36" s="1"/>
  <c r="J94" i="35"/>
  <c r="P754" i="36" s="1"/>
  <c r="J448" i="35"/>
  <c r="P173" i="36" s="1"/>
  <c r="J183" i="35"/>
  <c r="P777" i="36" s="1"/>
  <c r="J17" i="35"/>
  <c r="P523" i="36" s="1"/>
  <c r="J360" i="35"/>
  <c r="P107" i="36" s="1"/>
  <c r="J462" i="35"/>
  <c r="P330" i="36" s="1"/>
  <c r="J460" i="35"/>
  <c r="P328" i="36" s="1"/>
  <c r="J407" i="35"/>
  <c r="P616" i="36" s="1"/>
  <c r="J218" i="35"/>
  <c r="P1043" i="36" s="1"/>
  <c r="J219" i="35"/>
  <c r="P1044" i="36" s="1"/>
  <c r="J246" i="35"/>
  <c r="P136" i="36" s="1"/>
  <c r="J244" i="35"/>
  <c r="P134" i="36" s="1"/>
  <c r="J394" i="35"/>
  <c r="P130" i="36" s="1"/>
  <c r="J395" i="35"/>
  <c r="P131" i="36" s="1"/>
  <c r="J88" i="35"/>
  <c r="P484" i="36" s="1"/>
  <c r="J86" i="35"/>
  <c r="P482" i="36" s="1"/>
  <c r="J72" i="35"/>
  <c r="P534" i="36" s="1"/>
  <c r="J530" i="35"/>
  <c r="P882" i="36" s="1"/>
  <c r="J539" i="35"/>
  <c r="P891" i="36" s="1"/>
  <c r="J51" i="35"/>
  <c r="P1150" i="36" s="1"/>
  <c r="J512" i="35"/>
  <c r="P424" i="36" s="1"/>
  <c r="J127" i="35"/>
  <c r="P941" i="36" s="1"/>
  <c r="J133" i="35"/>
  <c r="P947" i="36" s="1"/>
  <c r="J430" i="35"/>
  <c r="P232" i="36" s="1"/>
  <c r="J420" i="35"/>
  <c r="P222" i="36" s="1"/>
  <c r="J176" i="35"/>
  <c r="J171" i="35"/>
  <c r="J386" i="35"/>
  <c r="P265" i="36" s="1"/>
  <c r="J383" i="35"/>
  <c r="P262" i="36" s="1"/>
  <c r="J105" i="35"/>
  <c r="P853" i="36" s="1"/>
  <c r="J30" i="35"/>
  <c r="P503" i="36" s="1"/>
  <c r="J32" i="35"/>
  <c r="P505" i="36" s="1"/>
  <c r="H326" i="38"/>
  <c r="L616" i="35"/>
  <c r="L607" i="35"/>
  <c r="L608" i="35"/>
  <c r="H440" i="38"/>
  <c r="E436" i="38"/>
  <c r="H404" i="38"/>
  <c r="H392" i="38"/>
  <c r="E388" i="38"/>
  <c r="H348" i="38"/>
  <c r="E340" i="38"/>
  <c r="E332" i="38"/>
  <c r="E248" i="38"/>
  <c r="H204" i="38"/>
  <c r="H148" i="38"/>
  <c r="H128" i="38"/>
  <c r="E124" i="38"/>
  <c r="H120" i="38"/>
  <c r="N424" i="35"/>
  <c r="N476" i="35"/>
  <c r="N420" i="35"/>
  <c r="N481" i="35"/>
  <c r="N430" i="35"/>
  <c r="N477" i="35"/>
  <c r="N483" i="35"/>
  <c r="N482" i="35"/>
  <c r="N429" i="35"/>
  <c r="N427" i="35"/>
  <c r="N426" i="35"/>
  <c r="N484" i="35"/>
  <c r="N479" i="35"/>
  <c r="N478" i="35"/>
  <c r="N425" i="35"/>
  <c r="N423" i="35"/>
  <c r="N422" i="35"/>
  <c r="N480" i="35"/>
  <c r="N421" i="35"/>
  <c r="S61" i="21"/>
  <c r="F596" i="35" s="1"/>
  <c r="T61" i="21"/>
  <c r="H596" i="35" s="1"/>
  <c r="E35" i="36" s="1"/>
  <c r="N35" i="36" s="1"/>
  <c r="B63" i="21"/>
  <c r="G97" i="42" s="1"/>
  <c r="C63" i="21"/>
  <c r="F64" i="21"/>
  <c r="F65" i="21" s="1"/>
  <c r="B65" i="21" s="1"/>
  <c r="C62" i="21"/>
  <c r="I63" i="21"/>
  <c r="L282" i="35"/>
  <c r="L280" i="35"/>
  <c r="L281" i="35"/>
  <c r="L278" i="35"/>
  <c r="L285" i="35"/>
  <c r="L279" i="35"/>
  <c r="L283" i="35"/>
  <c r="L284" i="35"/>
  <c r="L277" i="35"/>
  <c r="L338" i="35"/>
  <c r="L340" i="35"/>
  <c r="L333" i="35"/>
  <c r="L342" i="35"/>
  <c r="L334" i="35"/>
  <c r="Z4" i="21"/>
  <c r="T4" i="21"/>
  <c r="AF4" i="21" s="1"/>
  <c r="J264" i="35"/>
  <c r="P198" i="36" s="1"/>
  <c r="J349" i="35"/>
  <c r="P921" i="36" s="1"/>
  <c r="J135" i="35"/>
  <c r="P58" i="36" s="1"/>
  <c r="J293" i="35"/>
  <c r="P403" i="36" s="1"/>
  <c r="J523" i="35"/>
  <c r="P391" i="36" s="1"/>
  <c r="P670" i="36"/>
  <c r="J346" i="35"/>
  <c r="P918" i="36" s="1"/>
  <c r="J340" i="35"/>
  <c r="P835" i="36" s="1"/>
  <c r="J138" i="35"/>
  <c r="P61" i="36" s="1"/>
  <c r="J290" i="35"/>
  <c r="P400" i="36" s="1"/>
  <c r="J152" i="35"/>
  <c r="P273" i="36" s="1"/>
  <c r="J436" i="35"/>
  <c r="P359" i="36" s="1"/>
  <c r="J330" i="35"/>
  <c r="P737" i="36" s="1"/>
  <c r="J351" i="35"/>
  <c r="P923" i="36" s="1"/>
  <c r="J341" i="35"/>
  <c r="P836" i="36" s="1"/>
  <c r="J292" i="35"/>
  <c r="P402" i="36" s="1"/>
  <c r="J146" i="35"/>
  <c r="P267" i="36" s="1"/>
  <c r="J325" i="35"/>
  <c r="P732" i="36" s="1"/>
  <c r="L12" i="35"/>
  <c r="L7" i="35"/>
  <c r="L276" i="35"/>
  <c r="L271" i="35"/>
  <c r="L266" i="35"/>
  <c r="L265" i="35"/>
  <c r="L259" i="35"/>
  <c r="L93" i="35"/>
  <c r="L92" i="35"/>
  <c r="L98" i="35"/>
  <c r="L498" i="35"/>
  <c r="L675" i="35" s="1"/>
  <c r="L502" i="35"/>
  <c r="L507" i="35"/>
  <c r="L21" i="35"/>
  <c r="L23" i="35"/>
  <c r="L18" i="35"/>
  <c r="L129" i="35"/>
  <c r="L131" i="35"/>
  <c r="L126" i="35"/>
  <c r="L385" i="35"/>
  <c r="L386" i="35"/>
  <c r="L380" i="35"/>
  <c r="L166" i="35"/>
  <c r="L164" i="35"/>
  <c r="L159" i="35"/>
  <c r="L145" i="35"/>
  <c r="L151" i="35"/>
  <c r="L146" i="35"/>
  <c r="L2" i="35"/>
  <c r="L4" i="35"/>
  <c r="L10" i="35"/>
  <c r="L268" i="35"/>
  <c r="L269" i="35"/>
  <c r="L274" i="35"/>
  <c r="L264" i="35"/>
  <c r="L261" i="35"/>
  <c r="L262" i="35"/>
  <c r="L100" i="35"/>
  <c r="L95" i="35"/>
  <c r="L90" i="35"/>
  <c r="L500" i="35"/>
  <c r="L501" i="35"/>
  <c r="L499" i="35"/>
  <c r="L676" i="35" s="1"/>
  <c r="L20" i="35"/>
  <c r="L15" i="35"/>
  <c r="L133" i="35"/>
  <c r="L128" i="35"/>
  <c r="L123" i="35"/>
  <c r="L381" i="35"/>
  <c r="L378" i="35"/>
  <c r="L165" i="35"/>
  <c r="L156" i="35"/>
  <c r="L149" i="35"/>
  <c r="L148" i="35"/>
  <c r="L154" i="35"/>
  <c r="L9" i="35"/>
  <c r="L11" i="35"/>
  <c r="L272" i="35"/>
  <c r="L275" i="35"/>
  <c r="L260" i="35"/>
  <c r="L263" i="35"/>
  <c r="L96" i="35"/>
  <c r="L504" i="35"/>
  <c r="L13" i="35"/>
  <c r="L16" i="35"/>
  <c r="L125" i="35"/>
  <c r="L124" i="35"/>
  <c r="L383" i="35"/>
  <c r="L379" i="35"/>
  <c r="L162" i="35"/>
  <c r="L161" i="35"/>
  <c r="L153" i="35"/>
  <c r="L155" i="35"/>
  <c r="F55" i="42"/>
  <c r="F30" i="42"/>
  <c r="F10" i="42"/>
  <c r="M33" i="22"/>
  <c r="AA33" i="22" s="1"/>
  <c r="F52" i="42"/>
  <c r="F27" i="42"/>
  <c r="F7" i="42"/>
  <c r="N7" i="22"/>
  <c r="T62" i="21"/>
  <c r="H597" i="35" s="1"/>
  <c r="E36" i="36" s="1"/>
  <c r="N36" i="36" s="1"/>
  <c r="J61" i="21"/>
  <c r="H552" i="35" s="1"/>
  <c r="F54" i="42"/>
  <c r="F9" i="42"/>
  <c r="M17" i="22"/>
  <c r="AA17" i="22" s="1"/>
  <c r="AA6" i="21"/>
  <c r="AM6" i="21" s="1"/>
  <c r="S6" i="21"/>
  <c r="N25" i="22"/>
  <c r="AB25" i="22" s="1"/>
  <c r="N43" i="22"/>
  <c r="G54" i="42"/>
  <c r="M40" i="22"/>
  <c r="M16" i="22"/>
  <c r="AA16" i="22" s="1"/>
  <c r="N34" i="22"/>
  <c r="AB34" i="22" s="1"/>
  <c r="N31" i="22"/>
  <c r="AB31" i="22" s="1"/>
  <c r="N61" i="21"/>
  <c r="F585" i="35" s="1"/>
  <c r="N62" i="21"/>
  <c r="F586" i="35" s="1"/>
  <c r="G52" i="42"/>
  <c r="G27" i="42"/>
  <c r="G7" i="42"/>
  <c r="M7" i="22"/>
  <c r="G6" i="22"/>
  <c r="G8" i="22"/>
  <c r="G10" i="22"/>
  <c r="G51" i="22"/>
  <c r="G13" i="22"/>
  <c r="G17" i="22"/>
  <c r="G41" i="22"/>
  <c r="G23" i="22"/>
  <c r="G29" i="22"/>
  <c r="G45" i="22"/>
  <c r="G47" i="22"/>
  <c r="G35" i="22"/>
  <c r="G39" i="22"/>
  <c r="G40" i="22"/>
  <c r="G5" i="22"/>
  <c r="G7" i="22"/>
  <c r="G50" i="22"/>
  <c r="G52" i="22"/>
  <c r="G14" i="22"/>
  <c r="G42" i="22"/>
  <c r="G22" i="22"/>
  <c r="AB22" i="22" s="1"/>
  <c r="G24" i="22"/>
  <c r="G43" i="22"/>
  <c r="G28" i="22"/>
  <c r="G46" i="22"/>
  <c r="G38" i="22"/>
  <c r="G58" i="22"/>
  <c r="Q5" i="21"/>
  <c r="G2" i="22"/>
  <c r="R5" i="21"/>
  <c r="P635" i="36"/>
  <c r="P899" i="36"/>
  <c r="L210" i="35"/>
  <c r="L201" i="35"/>
  <c r="L204" i="35"/>
  <c r="L202" i="35"/>
  <c r="L207" i="35"/>
  <c r="L200" i="35"/>
  <c r="L203" i="35"/>
  <c r="L205" i="35"/>
  <c r="L206" i="35"/>
  <c r="L208" i="35"/>
  <c r="L246" i="35"/>
  <c r="L251" i="35"/>
  <c r="L244" i="35"/>
  <c r="L254" i="35"/>
  <c r="L253" i="35"/>
  <c r="L252" i="35"/>
  <c r="L62" i="35"/>
  <c r="L67" i="35"/>
  <c r="L57" i="35"/>
  <c r="L59" i="35"/>
  <c r="L64" i="35"/>
  <c r="L460" i="35"/>
  <c r="L454" i="35"/>
  <c r="L461" i="35"/>
  <c r="L453" i="35"/>
  <c r="L458" i="35"/>
  <c r="L455" i="35"/>
  <c r="L190" i="35"/>
  <c r="L195" i="35"/>
  <c r="L193" i="35"/>
  <c r="L198" i="35"/>
  <c r="L189" i="35"/>
  <c r="L192" i="35"/>
  <c r="L580" i="35"/>
  <c r="L582" i="35"/>
  <c r="L583" i="35"/>
  <c r="L575" i="35"/>
  <c r="L581" i="35"/>
  <c r="L579" i="35"/>
  <c r="L576" i="35"/>
  <c r="L578" i="35"/>
  <c r="L577" i="35"/>
  <c r="M25" i="22"/>
  <c r="AA25" i="22" s="1"/>
  <c r="M45" i="22"/>
  <c r="M46" i="22"/>
  <c r="N46" i="22"/>
  <c r="M28" i="22"/>
  <c r="AA28" i="22" s="1"/>
  <c r="J62" i="21"/>
  <c r="S62" i="21"/>
  <c r="F597" i="35" s="1"/>
  <c r="N39" i="22"/>
  <c r="P1000" i="36"/>
  <c r="P989" i="36"/>
  <c r="P557" i="36"/>
  <c r="P282" i="36"/>
  <c r="G30" i="42"/>
  <c r="F53" i="42"/>
  <c r="G4" i="22"/>
  <c r="G21" i="22"/>
  <c r="G44" i="22"/>
  <c r="G27" i="22"/>
  <c r="G11" i="22"/>
  <c r="G16" i="22"/>
  <c r="G26" i="22"/>
  <c r="AB26" i="22" s="1"/>
  <c r="J122" i="35"/>
  <c r="P936" i="36" s="1"/>
  <c r="J20" i="35"/>
  <c r="P526" i="36" s="1"/>
  <c r="J36" i="35"/>
  <c r="J616" i="35"/>
  <c r="J612" i="35"/>
  <c r="J615" i="35"/>
  <c r="J611" i="35"/>
  <c r="J608" i="35"/>
  <c r="J617" i="35"/>
  <c r="J613" i="35"/>
  <c r="J609" i="35"/>
  <c r="G28" i="42"/>
  <c r="J610" i="35"/>
  <c r="L307" i="35"/>
  <c r="L306" i="35"/>
  <c r="L299" i="35"/>
  <c r="L308" i="35"/>
  <c r="L304" i="35"/>
  <c r="L102" i="35"/>
  <c r="L107" i="35"/>
  <c r="L105" i="35"/>
  <c r="L110" i="35"/>
  <c r="L104" i="35"/>
  <c r="L101" i="35"/>
  <c r="L134" i="35"/>
  <c r="L139" i="35"/>
  <c r="L144" i="35"/>
  <c r="L142" i="35"/>
  <c r="L136" i="35"/>
  <c r="L141" i="35"/>
  <c r="L398" i="35"/>
  <c r="L405" i="35"/>
  <c r="L404" i="35"/>
  <c r="L406" i="35"/>
  <c r="L399" i="35"/>
  <c r="L468" i="35"/>
  <c r="L474" i="35"/>
  <c r="L473" i="35"/>
  <c r="L466" i="35"/>
  <c r="L469" i="35"/>
  <c r="J38" i="35"/>
  <c r="J35" i="35"/>
  <c r="J37" i="35"/>
  <c r="J43" i="35"/>
  <c r="J40" i="35"/>
  <c r="J45" i="35"/>
  <c r="J44" i="35"/>
  <c r="J42" i="35"/>
  <c r="J23" i="35"/>
  <c r="P529" i="36" s="1"/>
  <c r="J16" i="35"/>
  <c r="P522" i="36" s="1"/>
  <c r="J14" i="35"/>
  <c r="P520" i="36" s="1"/>
  <c r="J13" i="35"/>
  <c r="P519" i="36" s="1"/>
  <c r="J18" i="35"/>
  <c r="P524" i="36" s="1"/>
  <c r="J19" i="35"/>
  <c r="P525" i="36" s="1"/>
  <c r="J21" i="35"/>
  <c r="P527" i="36" s="1"/>
  <c r="J22" i="35"/>
  <c r="P528" i="36" s="1"/>
  <c r="J499" i="35"/>
  <c r="J504" i="35"/>
  <c r="P152" i="36" s="1"/>
  <c r="J497" i="35"/>
  <c r="J503" i="35"/>
  <c r="P151" i="36" s="1"/>
  <c r="J498" i="35"/>
  <c r="J505" i="35"/>
  <c r="P153" i="36" s="1"/>
  <c r="J500" i="35"/>
  <c r="P148" i="36" s="1"/>
  <c r="J506" i="35"/>
  <c r="P154" i="36" s="1"/>
  <c r="J114" i="35"/>
  <c r="P928" i="36" s="1"/>
  <c r="J116" i="35"/>
  <c r="P930" i="36" s="1"/>
  <c r="J121" i="35"/>
  <c r="P935" i="36" s="1"/>
  <c r="J118" i="35"/>
  <c r="P932" i="36" s="1"/>
  <c r="J120" i="35"/>
  <c r="P934" i="36" s="1"/>
  <c r="J115" i="35"/>
  <c r="P929" i="36" s="1"/>
  <c r="J112" i="35"/>
  <c r="P926" i="36" s="1"/>
  <c r="J113" i="35"/>
  <c r="P927" i="36" s="1"/>
  <c r="J185" i="35"/>
  <c r="P779" i="36" s="1"/>
  <c r="J180" i="35"/>
  <c r="P774" i="36" s="1"/>
  <c r="J178" i="35"/>
  <c r="P772" i="36" s="1"/>
  <c r="J179" i="35"/>
  <c r="P773" i="36" s="1"/>
  <c r="J188" i="35"/>
  <c r="P782" i="36" s="1"/>
  <c r="J182" i="35"/>
  <c r="P776" i="36" s="1"/>
  <c r="J181" i="35"/>
  <c r="P775" i="36" s="1"/>
  <c r="J187" i="35"/>
  <c r="P781" i="36" s="1"/>
  <c r="J186" i="35"/>
  <c r="P780" i="36" s="1"/>
  <c r="J468" i="35"/>
  <c r="P897" i="36" s="1"/>
  <c r="J467" i="35"/>
  <c r="P632" i="36" s="1"/>
  <c r="J472" i="35"/>
  <c r="J207" i="35"/>
  <c r="P988" i="36" s="1"/>
  <c r="J210" i="35"/>
  <c r="P1002" i="36" s="1"/>
  <c r="J204" i="35"/>
  <c r="P985" i="36" s="1"/>
  <c r="J203" i="35"/>
  <c r="J202" i="35"/>
  <c r="J496" i="35"/>
  <c r="P562" i="36" s="1"/>
  <c r="J493" i="35"/>
  <c r="P559" i="36" s="1"/>
  <c r="J486" i="35"/>
  <c r="P277" i="36" s="1"/>
  <c r="J492" i="35"/>
  <c r="P558" i="36" s="1"/>
  <c r="J582" i="35"/>
  <c r="P879" i="36" s="1"/>
  <c r="J574" i="35"/>
  <c r="P871" i="36" s="1"/>
  <c r="J584" i="35"/>
  <c r="P881" i="36" s="1"/>
  <c r="J580" i="35"/>
  <c r="P877" i="36" s="1"/>
  <c r="J320" i="35"/>
  <c r="P628" i="36" s="1"/>
  <c r="J317" i="35"/>
  <c r="P625" i="36" s="1"/>
  <c r="J310" i="35"/>
  <c r="P618" i="36" s="1"/>
  <c r="J316" i="35"/>
  <c r="P624" i="36" s="1"/>
  <c r="J191" i="35"/>
  <c r="J199" i="35"/>
  <c r="J193" i="35"/>
  <c r="J190" i="35"/>
  <c r="J57" i="35"/>
  <c r="P244" i="36" s="1"/>
  <c r="J58" i="35"/>
  <c r="P245" i="36" s="1"/>
  <c r="J65" i="35"/>
  <c r="P252" i="36" s="1"/>
  <c r="J62" i="35"/>
  <c r="P249" i="36" s="1"/>
  <c r="J614" i="35"/>
  <c r="J299" i="35"/>
  <c r="P1003" i="36" s="1"/>
  <c r="L620" i="35"/>
  <c r="L621" i="35"/>
  <c r="L623" i="35"/>
  <c r="L625" i="35"/>
  <c r="L627" i="35"/>
  <c r="L629" i="35"/>
  <c r="L619" i="35"/>
  <c r="L622" i="35"/>
  <c r="L624" i="35"/>
  <c r="L626" i="35"/>
  <c r="L628" i="35"/>
  <c r="L609" i="35"/>
  <c r="N220" i="35"/>
  <c r="N211" i="35"/>
  <c r="N214" i="35"/>
  <c r="N622" i="35"/>
  <c r="N623" i="35"/>
  <c r="N627" i="35"/>
  <c r="N620" i="35"/>
  <c r="N624" i="35"/>
  <c r="N628" i="35"/>
  <c r="N619" i="35"/>
  <c r="N621" i="35"/>
  <c r="N625" i="35"/>
  <c r="N629" i="35"/>
  <c r="N626" i="35"/>
  <c r="N616" i="35"/>
  <c r="N608" i="35"/>
  <c r="N578" i="35"/>
  <c r="N566" i="35"/>
  <c r="N535" i="35"/>
  <c r="N520" i="35"/>
  <c r="N500" i="35"/>
  <c r="N492" i="35"/>
  <c r="N469" i="35"/>
  <c r="N399" i="35"/>
  <c r="N386" i="35"/>
  <c r="N378" i="35"/>
  <c r="N363" i="35"/>
  <c r="N343" i="35"/>
  <c r="N615" i="35"/>
  <c r="N607" i="35"/>
  <c r="N577" i="35"/>
  <c r="N540" i="35"/>
  <c r="N532" i="35"/>
  <c r="N507" i="35"/>
  <c r="N499" i="35"/>
  <c r="N676" i="35" s="1"/>
  <c r="N491" i="35"/>
  <c r="N465" i="35"/>
  <c r="N395" i="35"/>
  <c r="N383" i="35"/>
  <c r="N375" i="35"/>
  <c r="N24" i="35"/>
  <c r="N612" i="35"/>
  <c r="N582" i="35"/>
  <c r="N574" i="35"/>
  <c r="N539" i="35"/>
  <c r="N531" i="35"/>
  <c r="N504" i="35"/>
  <c r="N496" i="35"/>
  <c r="N488" i="35"/>
  <c r="N415" i="35"/>
  <c r="N391" i="35"/>
  <c r="N382" i="35"/>
  <c r="N371" i="35"/>
  <c r="N351" i="35"/>
  <c r="N99" i="35"/>
  <c r="N611" i="35"/>
  <c r="N581" i="35"/>
  <c r="N569" i="35"/>
  <c r="N536" i="35"/>
  <c r="N528" i="35"/>
  <c r="N503" i="35"/>
  <c r="N495" i="35"/>
  <c r="N487" i="35"/>
  <c r="N411" i="35"/>
  <c r="N387" i="35"/>
  <c r="N379" i="35"/>
  <c r="N367" i="35"/>
  <c r="N347" i="35"/>
  <c r="L463" i="35"/>
  <c r="L459" i="35"/>
  <c r="AF37" i="22"/>
  <c r="AF39" i="22"/>
  <c r="AF40" i="22"/>
  <c r="AF33" i="22"/>
  <c r="AF45" i="22"/>
  <c r="AF29" i="22"/>
  <c r="AF44" i="22"/>
  <c r="AF22" i="22"/>
  <c r="AF42" i="22"/>
  <c r="AF16" i="22"/>
  <c r="AF52" i="22"/>
  <c r="AF10" i="22"/>
  <c r="AF7" i="22"/>
  <c r="AF3" i="22"/>
  <c r="AF2" i="22"/>
  <c r="AF58" i="22"/>
  <c r="AF49" i="22"/>
  <c r="AF36" i="22"/>
  <c r="AF48" i="22"/>
  <c r="AF32" i="22"/>
  <c r="AF28" i="22"/>
  <c r="AF43" i="22"/>
  <c r="AF21" i="22"/>
  <c r="AF41" i="22"/>
  <c r="AF15" i="22"/>
  <c r="AF51" i="22"/>
  <c r="AF9" i="22"/>
  <c r="AF6" i="22"/>
  <c r="AF35" i="22"/>
  <c r="AF47" i="22"/>
  <c r="AF31" i="22"/>
  <c r="AF27" i="22"/>
  <c r="AF24" i="22"/>
  <c r="AF20" i="22"/>
  <c r="AF18" i="22"/>
  <c r="AF14" i="22"/>
  <c r="AF50" i="22"/>
  <c r="AF11" i="22"/>
  <c r="AF5" i="22"/>
  <c r="AF53" i="22"/>
  <c r="AF34" i="22"/>
  <c r="AF46" i="22"/>
  <c r="AF30" i="22"/>
  <c r="AF26" i="22"/>
  <c r="AF23" i="22"/>
  <c r="AF19" i="22"/>
  <c r="AF17" i="22"/>
  <c r="AF12" i="22"/>
  <c r="H76" i="38"/>
  <c r="E72" i="38"/>
  <c r="H276" i="38"/>
  <c r="H340" i="38"/>
  <c r="H492" i="38"/>
  <c r="H252" i="38"/>
  <c r="E316" i="38"/>
  <c r="H272" i="38"/>
  <c r="E41" i="38"/>
  <c r="H81" i="38"/>
  <c r="E428" i="38"/>
  <c r="H192" i="38"/>
  <c r="E196" i="38"/>
  <c r="H196" i="38"/>
  <c r="H92" i="38"/>
  <c r="E268" i="38"/>
  <c r="E424" i="38"/>
  <c r="E392" i="38"/>
  <c r="E272" i="38"/>
  <c r="H332" i="38"/>
  <c r="H488" i="38"/>
  <c r="H21" i="38"/>
  <c r="E49" i="38"/>
  <c r="E57" i="38"/>
  <c r="E77" i="38"/>
  <c r="H89" i="38"/>
  <c r="E149" i="38"/>
  <c r="E181" i="38"/>
  <c r="E43" i="38"/>
  <c r="H479" i="38"/>
  <c r="E128" i="38"/>
  <c r="H124" i="38"/>
  <c r="E112" i="38"/>
  <c r="H338" i="38"/>
  <c r="E134" i="38"/>
  <c r="E182" i="38"/>
  <c r="E166" i="38"/>
  <c r="E246" i="38"/>
  <c r="E18" i="38"/>
  <c r="E14" i="38"/>
  <c r="E6" i="38"/>
  <c r="E13" i="38"/>
  <c r="H25" i="38"/>
  <c r="E33" i="38"/>
  <c r="H53" i="38"/>
  <c r="H241" i="38"/>
  <c r="E297" i="38"/>
  <c r="E373" i="38"/>
  <c r="H19" i="38"/>
  <c r="H63" i="38"/>
  <c r="H435" i="38"/>
  <c r="E154" i="38"/>
  <c r="E150" i="38"/>
  <c r="E380" i="38"/>
  <c r="E352" i="38"/>
  <c r="H132" i="38"/>
  <c r="E132" i="38"/>
  <c r="H444" i="38"/>
  <c r="E444" i="38"/>
  <c r="E396" i="38"/>
  <c r="E156" i="38"/>
  <c r="H144" i="38"/>
  <c r="E440" i="38"/>
  <c r="H376" i="38"/>
  <c r="H177" i="38"/>
  <c r="H209" i="38"/>
  <c r="E321" i="38"/>
  <c r="H381" i="38"/>
  <c r="H72" i="38"/>
  <c r="H96" i="38"/>
  <c r="H12" i="38"/>
  <c r="H20" i="38"/>
  <c r="H156" i="38"/>
  <c r="E252" i="38"/>
  <c r="H396" i="38"/>
  <c r="H403" i="38"/>
  <c r="H395" i="38"/>
  <c r="E387" i="38"/>
  <c r="E319" i="38"/>
  <c r="H319" i="38"/>
  <c r="E251" i="38"/>
  <c r="E207" i="38"/>
  <c r="H203" i="38"/>
  <c r="H195" i="38"/>
  <c r="E183" i="38"/>
  <c r="E135" i="38"/>
  <c r="H135" i="38"/>
  <c r="E103" i="38"/>
  <c r="H75" i="38"/>
  <c r="H71" i="38"/>
  <c r="E59" i="38"/>
  <c r="H59" i="38"/>
  <c r="E39" i="38"/>
  <c r="H468" i="38"/>
  <c r="H464" i="38"/>
  <c r="E264" i="38"/>
  <c r="E260" i="38"/>
  <c r="E256" i="38"/>
  <c r="E336" i="38"/>
  <c r="H109" i="38"/>
  <c r="H165" i="38"/>
  <c r="H233" i="38"/>
  <c r="E305" i="38"/>
  <c r="H349" i="38"/>
  <c r="E365" i="38"/>
  <c r="E100" i="38"/>
  <c r="E492" i="38"/>
  <c r="E324" i="38"/>
  <c r="H324" i="38"/>
  <c r="H4" i="38"/>
  <c r="E96" i="38"/>
  <c r="H172" i="38"/>
  <c r="E433" i="38"/>
  <c r="E148" i="38"/>
  <c r="E488" i="38"/>
  <c r="H248" i="38"/>
  <c r="H41" i="38"/>
  <c r="H85" i="38"/>
  <c r="H169" i="38"/>
  <c r="E177" i="38"/>
  <c r="H237" i="38"/>
  <c r="E369" i="38"/>
  <c r="H385" i="38"/>
  <c r="H417" i="38"/>
  <c r="E412" i="38"/>
  <c r="H18" i="38"/>
  <c r="H420" i="38"/>
  <c r="E4" i="38"/>
  <c r="H388" i="38"/>
  <c r="E192" i="38"/>
  <c r="H268" i="38"/>
  <c r="E296" i="38"/>
  <c r="H412" i="38"/>
  <c r="E75" i="38"/>
  <c r="H494" i="38"/>
  <c r="H408" i="38"/>
  <c r="E141" i="38"/>
  <c r="H33" i="38"/>
  <c r="E456" i="38"/>
  <c r="H284" i="38"/>
  <c r="E116" i="38"/>
  <c r="H208" i="38"/>
  <c r="E200" i="38"/>
  <c r="E220" i="38"/>
  <c r="E216" i="38"/>
  <c r="E64" i="38"/>
  <c r="E494" i="38"/>
  <c r="H490" i="38"/>
  <c r="E410" i="38"/>
  <c r="E382" i="38"/>
  <c r="H330" i="38"/>
  <c r="H302" i="38"/>
  <c r="H266" i="38"/>
  <c r="H246" i="38"/>
  <c r="H182" i="38"/>
  <c r="H166" i="38"/>
  <c r="H158" i="38"/>
  <c r="H14" i="38"/>
  <c r="H10" i="38"/>
  <c r="E489" i="38"/>
  <c r="E173" i="38"/>
  <c r="H181" i="38"/>
  <c r="H313" i="38"/>
  <c r="E353" i="38"/>
  <c r="H365" i="38"/>
  <c r="E429" i="38"/>
  <c r="E441" i="38"/>
  <c r="H351" i="38"/>
  <c r="H83" i="38"/>
  <c r="H107" i="38"/>
  <c r="H235" i="38"/>
  <c r="E323" i="38"/>
  <c r="H347" i="38"/>
  <c r="E391" i="38"/>
  <c r="E403" i="38"/>
  <c r="E63" i="38"/>
  <c r="H487" i="38"/>
  <c r="H475" i="38"/>
  <c r="H439" i="38"/>
  <c r="H431" i="38"/>
  <c r="H343" i="38"/>
  <c r="H315" i="38"/>
  <c r="H187" i="38"/>
  <c r="E187" i="38"/>
  <c r="H179" i="38"/>
  <c r="H139" i="38"/>
  <c r="H111" i="38"/>
  <c r="H87" i="38"/>
  <c r="H79" i="38"/>
  <c r="H55" i="38"/>
  <c r="H39" i="38"/>
  <c r="E483" i="38"/>
  <c r="H483" i="38"/>
  <c r="H407" i="38"/>
  <c r="H399" i="38"/>
  <c r="E309" i="38"/>
  <c r="H317" i="38"/>
  <c r="H357" i="38"/>
  <c r="E381" i="38"/>
  <c r="H413" i="38"/>
  <c r="H451" i="38"/>
  <c r="H481" i="38"/>
  <c r="E87" i="38"/>
  <c r="E111" i="38"/>
  <c r="H143" i="38"/>
  <c r="H183" i="38"/>
  <c r="E315" i="38"/>
  <c r="E399" i="38"/>
  <c r="E475" i="38"/>
  <c r="E487" i="38"/>
  <c r="E437" i="38"/>
  <c r="E301" i="38"/>
  <c r="E341" i="38"/>
  <c r="H88" i="38"/>
  <c r="H443" i="38"/>
  <c r="H320" i="38"/>
  <c r="H312" i="38"/>
  <c r="H378" i="38"/>
  <c r="H249" i="38"/>
  <c r="E463" i="38"/>
  <c r="H285" i="38"/>
  <c r="E281" i="38"/>
  <c r="E277" i="38"/>
  <c r="H121" i="38"/>
  <c r="E115" i="38"/>
  <c r="H364" i="38"/>
  <c r="H358" i="38"/>
  <c r="H356" i="38"/>
  <c r="E354" i="38"/>
  <c r="H229" i="38"/>
  <c r="E227" i="38"/>
  <c r="E223" i="38"/>
  <c r="E131" i="38"/>
  <c r="H129" i="38"/>
  <c r="H127" i="38"/>
  <c r="H236" i="38"/>
  <c r="H153" i="38"/>
  <c r="E145" i="38"/>
  <c r="E95" i="38"/>
  <c r="H175" i="38"/>
  <c r="E171" i="38"/>
  <c r="E78" i="38"/>
  <c r="H74" i="38"/>
  <c r="E70" i="38"/>
  <c r="E432" i="38"/>
  <c r="E404" i="38"/>
  <c r="E400" i="38"/>
  <c r="E348" i="38"/>
  <c r="E344" i="38"/>
  <c r="H495" i="38"/>
  <c r="E491" i="38"/>
  <c r="H496" i="38"/>
  <c r="E271" i="38"/>
  <c r="E329" i="38"/>
  <c r="E144" i="38"/>
  <c r="H425" i="38"/>
  <c r="E189" i="38"/>
  <c r="E44" i="38"/>
  <c r="H445" i="38"/>
  <c r="H297" i="38"/>
  <c r="E289" i="38"/>
  <c r="E161" i="38"/>
  <c r="E157" i="38"/>
  <c r="E331" i="38"/>
  <c r="H337" i="38"/>
  <c r="E108" i="38"/>
  <c r="H31" i="38"/>
  <c r="E375" i="38"/>
  <c r="H367" i="38"/>
  <c r="E417" i="38"/>
  <c r="E291" i="38"/>
  <c r="E307" i="38"/>
  <c r="E473" i="38"/>
  <c r="E471" i="38"/>
  <c r="E467" i="38"/>
  <c r="E263" i="38"/>
  <c r="E205" i="38"/>
  <c r="E201" i="38"/>
  <c r="E217" i="38"/>
  <c r="E215" i="38"/>
  <c r="H211" i="38"/>
  <c r="E357" i="38"/>
  <c r="E232" i="38"/>
  <c r="E230" i="38"/>
  <c r="H228" i="38"/>
  <c r="E224" i="38"/>
  <c r="E243" i="38"/>
  <c r="H239" i="38"/>
  <c r="E152" i="38"/>
  <c r="H150" i="38"/>
  <c r="H339" i="38"/>
  <c r="H421" i="38"/>
  <c r="E193" i="38"/>
  <c r="E86" i="38"/>
  <c r="H180" i="38"/>
  <c r="E449" i="38"/>
  <c r="E163" i="38"/>
  <c r="E386" i="38"/>
  <c r="E383" i="38"/>
  <c r="E23" i="38"/>
  <c r="E11" i="38"/>
  <c r="E61" i="21"/>
  <c r="H79" i="21" s="1"/>
  <c r="D61" i="21"/>
  <c r="E202" i="38"/>
  <c r="H112" i="38"/>
  <c r="H240" i="38"/>
  <c r="H125" i="38"/>
  <c r="E153" i="38"/>
  <c r="H205" i="38"/>
  <c r="H221" i="38"/>
  <c r="E229" i="38"/>
  <c r="H361" i="38"/>
  <c r="E58" i="38"/>
  <c r="E228" i="38"/>
  <c r="H224" i="38"/>
  <c r="E60" i="38"/>
  <c r="H67" i="38"/>
  <c r="E151" i="38"/>
  <c r="E211" i="38"/>
  <c r="H219" i="38"/>
  <c r="H243" i="38"/>
  <c r="H355" i="38"/>
  <c r="H363" i="38"/>
  <c r="E470" i="38"/>
  <c r="H454" i="38"/>
  <c r="H354" i="38"/>
  <c r="E286" i="38"/>
  <c r="H282" i="38"/>
  <c r="H278" i="38"/>
  <c r="E262" i="38"/>
  <c r="H230" i="38"/>
  <c r="H222" i="38"/>
  <c r="H214" i="38"/>
  <c r="H206" i="38"/>
  <c r="E146" i="38"/>
  <c r="H130" i="38"/>
  <c r="H118" i="38"/>
  <c r="E90" i="38"/>
  <c r="H78" i="38"/>
  <c r="E129" i="38"/>
  <c r="H499" i="38"/>
  <c r="E203" i="38"/>
  <c r="H215" i="38"/>
  <c r="H263" i="38"/>
  <c r="E460" i="38"/>
  <c r="H280" i="38"/>
  <c r="H116" i="38"/>
  <c r="P688" i="36"/>
  <c r="P48" i="36"/>
  <c r="V45" i="21"/>
  <c r="V52" i="21"/>
  <c r="V53" i="21"/>
  <c r="V46" i="21"/>
  <c r="V50" i="21"/>
  <c r="V51" i="21"/>
  <c r="V54" i="21"/>
  <c r="V48" i="21"/>
  <c r="N41" i="22" s="1"/>
  <c r="M45" i="21"/>
  <c r="M48" i="21"/>
  <c r="M49" i="21"/>
  <c r="M50" i="21"/>
  <c r="M54" i="21"/>
  <c r="M47" i="21"/>
  <c r="M15" i="22" s="1"/>
  <c r="AA15" i="22" s="1"/>
  <c r="M52" i="21"/>
  <c r="M51" i="21"/>
  <c r="M53" i="21"/>
  <c r="V47" i="21"/>
  <c r="H60" i="38"/>
  <c r="E481" i="38"/>
  <c r="H485" i="38"/>
  <c r="H151" i="38"/>
  <c r="H478" i="38"/>
  <c r="H438" i="38"/>
  <c r="E430" i="38"/>
  <c r="H430" i="38"/>
  <c r="E406" i="38"/>
  <c r="H402" i="38"/>
  <c r="E398" i="38"/>
  <c r="E394" i="38"/>
  <c r="H370" i="38"/>
  <c r="E370" i="38"/>
  <c r="E358" i="38"/>
  <c r="H310" i="38"/>
  <c r="H202" i="38"/>
  <c r="E42" i="38"/>
  <c r="H493" i="38"/>
  <c r="E279" i="38"/>
  <c r="E231" i="38"/>
  <c r="H231" i="38"/>
  <c r="H223" i="38"/>
  <c r="H131" i="38"/>
  <c r="E127" i="38"/>
  <c r="H123" i="38"/>
  <c r="H155" i="38"/>
  <c r="E155" i="38"/>
  <c r="E147" i="38"/>
  <c r="E167" i="38"/>
  <c r="E335" i="38"/>
  <c r="H27" i="38"/>
  <c r="E27" i="38"/>
  <c r="E427" i="38"/>
  <c r="H447" i="38"/>
  <c r="E447" i="38"/>
  <c r="E411" i="38"/>
  <c r="H295" i="38"/>
  <c r="E295" i="38"/>
  <c r="E51" i="38"/>
  <c r="H15" i="38"/>
  <c r="E266" i="38"/>
  <c r="H62" i="38"/>
  <c r="H432" i="38"/>
  <c r="E117" i="38"/>
  <c r="E133" i="38"/>
  <c r="H145" i="38"/>
  <c r="H157" i="38"/>
  <c r="H161" i="38"/>
  <c r="H189" i="38"/>
  <c r="E225" i="38"/>
  <c r="H269" i="38"/>
  <c r="H329" i="38"/>
  <c r="H341" i="38"/>
  <c r="H409" i="38"/>
  <c r="E421" i="38"/>
  <c r="E356" i="38"/>
  <c r="H122" i="38"/>
  <c r="H256" i="38"/>
  <c r="H146" i="38"/>
  <c r="H178" i="38"/>
  <c r="E206" i="38"/>
  <c r="H226" i="38"/>
  <c r="H242" i="38"/>
  <c r="E302" i="38"/>
  <c r="E310" i="38"/>
  <c r="E338" i="38"/>
  <c r="H154" i="38"/>
  <c r="H346" i="38"/>
  <c r="H44" i="38"/>
  <c r="E136" i="38"/>
  <c r="E184" i="38"/>
  <c r="H394" i="38"/>
  <c r="E425" i="38"/>
  <c r="E445" i="38"/>
  <c r="E477" i="38"/>
  <c r="H489" i="38"/>
  <c r="H374" i="38"/>
  <c r="H398" i="38"/>
  <c r="H406" i="38"/>
  <c r="E426" i="38"/>
  <c r="E438" i="38"/>
  <c r="E486" i="38"/>
  <c r="H23" i="38"/>
  <c r="H119" i="38"/>
  <c r="H199" i="38"/>
  <c r="H227" i="38"/>
  <c r="H271" i="38"/>
  <c r="H291" i="38"/>
  <c r="E299" i="38"/>
  <c r="H335" i="38"/>
  <c r="E415" i="38"/>
  <c r="E170" i="38"/>
  <c r="H294" i="38"/>
  <c r="H2" i="38"/>
  <c r="H504" i="38"/>
  <c r="E496" i="38"/>
  <c r="E480" i="38"/>
  <c r="E448" i="38"/>
  <c r="H400" i="38"/>
  <c r="H344" i="38"/>
  <c r="H287" i="38"/>
  <c r="E99" i="38"/>
  <c r="H99" i="38"/>
  <c r="H91" i="38"/>
  <c r="H327" i="38"/>
  <c r="H419" i="38"/>
  <c r="E419" i="38"/>
  <c r="E10" i="38"/>
  <c r="E408" i="38"/>
  <c r="H170" i="38"/>
  <c r="H281" i="38"/>
  <c r="E122" i="38"/>
  <c r="H384" i="38"/>
  <c r="H90" i="38"/>
  <c r="H352" i="38"/>
  <c r="H452" i="38"/>
  <c r="H422" i="38"/>
  <c r="E493" i="38"/>
  <c r="H42" i="38"/>
  <c r="H410" i="38"/>
  <c r="H442" i="38"/>
  <c r="E478" i="38"/>
  <c r="H7" i="38"/>
  <c r="E15" i="38"/>
  <c r="E123" i="38"/>
  <c r="H147" i="38"/>
  <c r="E175" i="38"/>
  <c r="E199" i="38"/>
  <c r="E327" i="38"/>
  <c r="H427" i="38"/>
  <c r="E495" i="38"/>
  <c r="H436" i="38"/>
  <c r="H3" i="38"/>
  <c r="E462" i="38"/>
  <c r="H456" i="38"/>
  <c r="E507" i="38"/>
  <c r="H473" i="38"/>
  <c r="E465" i="38"/>
  <c r="E259" i="38"/>
  <c r="E284" i="38"/>
  <c r="E282" i="38"/>
  <c r="E280" i="38"/>
  <c r="E278" i="38"/>
  <c r="E120" i="38"/>
  <c r="H207" i="38"/>
  <c r="E92" i="38"/>
  <c r="H391" i="38"/>
  <c r="H387" i="38"/>
  <c r="E71" i="38"/>
  <c r="E24" i="38"/>
  <c r="E384" i="38"/>
  <c r="E376" i="38"/>
  <c r="H104" i="38"/>
  <c r="H26" i="38"/>
  <c r="H366" i="38"/>
  <c r="H251" i="38"/>
  <c r="H232" i="38"/>
  <c r="H126" i="38"/>
  <c r="E76" i="38"/>
  <c r="H382" i="38"/>
  <c r="H47" i="38"/>
  <c r="P366" i="36"/>
  <c r="AB64" i="22"/>
  <c r="AB62" i="22"/>
  <c r="AB60" i="22"/>
  <c r="AB59" i="22"/>
  <c r="J258" i="35"/>
  <c r="P192" i="36" s="1"/>
  <c r="J260" i="35"/>
  <c r="P194" i="36" s="1"/>
  <c r="J255" i="35"/>
  <c r="P189" i="36" s="1"/>
  <c r="J350" i="35"/>
  <c r="P922" i="36" s="1"/>
  <c r="J348" i="35"/>
  <c r="P920" i="36" s="1"/>
  <c r="J353" i="35"/>
  <c r="P925" i="36" s="1"/>
  <c r="J335" i="35"/>
  <c r="P830" i="36" s="1"/>
  <c r="J143" i="35"/>
  <c r="P66" i="36" s="1"/>
  <c r="J141" i="35"/>
  <c r="P64" i="36" s="1"/>
  <c r="J142" i="35"/>
  <c r="P65" i="36" s="1"/>
  <c r="J288" i="35"/>
  <c r="P398" i="36" s="1"/>
  <c r="J297" i="35"/>
  <c r="P407" i="36" s="1"/>
  <c r="J147" i="35"/>
  <c r="P268" i="36" s="1"/>
  <c r="J149" i="35"/>
  <c r="P270" i="36" s="1"/>
  <c r="J150" i="35"/>
  <c r="P271" i="36" s="1"/>
  <c r="J440" i="35"/>
  <c r="P363" i="36" s="1"/>
  <c r="J226" i="35"/>
  <c r="P655" i="36" s="1"/>
  <c r="J469" i="35"/>
  <c r="J309" i="35"/>
  <c r="P1013" i="36" s="1"/>
  <c r="J300" i="35"/>
  <c r="P1004" i="36" s="1"/>
  <c r="J302" i="35"/>
  <c r="P1006" i="36" s="1"/>
  <c r="J301" i="35"/>
  <c r="P1005" i="36" s="1"/>
  <c r="J303" i="35"/>
  <c r="P1007" i="36" s="1"/>
  <c r="J304" i="35"/>
  <c r="P1008" i="36" s="1"/>
  <c r="J433" i="35"/>
  <c r="P356" i="36" s="1"/>
  <c r="J432" i="35"/>
  <c r="P355" i="36" s="1"/>
  <c r="J441" i="35"/>
  <c r="P364" i="36" s="1"/>
  <c r="J439" i="35"/>
  <c r="P362" i="36" s="1"/>
  <c r="J434" i="35"/>
  <c r="P357" i="36" s="1"/>
  <c r="J277" i="35"/>
  <c r="P574" i="36" s="1"/>
  <c r="J283" i="35"/>
  <c r="P580" i="36" s="1"/>
  <c r="J282" i="35"/>
  <c r="P579" i="36" s="1"/>
  <c r="J285" i="35"/>
  <c r="P582" i="36" s="1"/>
  <c r="J284" i="35"/>
  <c r="P581" i="36" s="1"/>
  <c r="J278" i="35"/>
  <c r="P575" i="36" s="1"/>
  <c r="J519" i="35"/>
  <c r="J520" i="35"/>
  <c r="J525" i="35"/>
  <c r="J527" i="35"/>
  <c r="J522" i="35"/>
  <c r="J321" i="35"/>
  <c r="P728" i="36" s="1"/>
  <c r="J327" i="35"/>
  <c r="P734" i="36" s="1"/>
  <c r="J322" i="35"/>
  <c r="P729" i="36" s="1"/>
  <c r="J329" i="35"/>
  <c r="P736" i="36" s="1"/>
  <c r="J324" i="35"/>
  <c r="P731" i="36" s="1"/>
  <c r="J326" i="35"/>
  <c r="P733" i="36" s="1"/>
  <c r="J229" i="35"/>
  <c r="P658" i="36" s="1"/>
  <c r="J228" i="35"/>
  <c r="P657" i="36" s="1"/>
  <c r="J222" i="35"/>
  <c r="P651" i="36" s="1"/>
  <c r="J227" i="35"/>
  <c r="P656" i="36" s="1"/>
  <c r="J232" i="35"/>
  <c r="P661" i="36" s="1"/>
  <c r="E244" i="38"/>
  <c r="H244" i="38"/>
  <c r="H463" i="38"/>
  <c r="E461" i="38"/>
  <c r="H461" i="38"/>
  <c r="E459" i="38"/>
  <c r="H459" i="38"/>
  <c r="H457" i="38"/>
  <c r="E457" i="38"/>
  <c r="H455" i="38"/>
  <c r="E455" i="38"/>
  <c r="E453" i="38"/>
  <c r="H453" i="38"/>
  <c r="H506" i="38"/>
  <c r="H502" i="38"/>
  <c r="H500" i="38"/>
  <c r="H498" i="38"/>
  <c r="H474" i="38"/>
  <c r="E474" i="38"/>
  <c r="H472" i="38"/>
  <c r="E472" i="38"/>
  <c r="H470" i="38"/>
  <c r="AB12" i="22"/>
  <c r="AB63" i="22"/>
  <c r="AB61" i="22"/>
  <c r="J263" i="35"/>
  <c r="P197" i="36" s="1"/>
  <c r="J261" i="35"/>
  <c r="P195" i="36" s="1"/>
  <c r="J352" i="35"/>
  <c r="P924" i="36" s="1"/>
  <c r="J347" i="35"/>
  <c r="P919" i="36" s="1"/>
  <c r="J345" i="35"/>
  <c r="P917" i="36" s="1"/>
  <c r="J338" i="35"/>
  <c r="P833" i="36" s="1"/>
  <c r="J332" i="35"/>
  <c r="P827" i="36" s="1"/>
  <c r="J337" i="35"/>
  <c r="P832" i="36" s="1"/>
  <c r="J139" i="35"/>
  <c r="P62" i="36" s="1"/>
  <c r="J140" i="35"/>
  <c r="P63" i="36" s="1"/>
  <c r="J134" i="35"/>
  <c r="P57" i="36" s="1"/>
  <c r="J298" i="35"/>
  <c r="P408" i="36" s="1"/>
  <c r="J295" i="35"/>
  <c r="P405" i="36" s="1"/>
  <c r="J289" i="35"/>
  <c r="P399" i="36" s="1"/>
  <c r="J153" i="35"/>
  <c r="P274" i="36" s="1"/>
  <c r="J148" i="35"/>
  <c r="P269" i="36" s="1"/>
  <c r="J286" i="35"/>
  <c r="P583" i="36" s="1"/>
  <c r="J281" i="35"/>
  <c r="P578" i="36" s="1"/>
  <c r="J435" i="35"/>
  <c r="P358" i="36" s="1"/>
  <c r="J579" i="35"/>
  <c r="P876" i="36" s="1"/>
  <c r="J306" i="35"/>
  <c r="P1010" i="36" s="1"/>
  <c r="J305" i="35"/>
  <c r="P1009" i="36" s="1"/>
  <c r="J231" i="35"/>
  <c r="P660" i="36" s="1"/>
  <c r="J328" i="35"/>
  <c r="P735" i="36" s="1"/>
  <c r="J526" i="35"/>
  <c r="J529" i="35"/>
  <c r="J262" i="35"/>
  <c r="P196" i="36" s="1"/>
  <c r="J256" i="35"/>
  <c r="P190" i="36" s="1"/>
  <c r="J259" i="35"/>
  <c r="P193" i="36" s="1"/>
  <c r="J344" i="35"/>
  <c r="P916" i="36" s="1"/>
  <c r="J342" i="35"/>
  <c r="P837" i="36" s="1"/>
  <c r="J336" i="35"/>
  <c r="P831" i="36" s="1"/>
  <c r="J339" i="35"/>
  <c r="P834" i="36" s="1"/>
  <c r="J333" i="35"/>
  <c r="P828" i="36" s="1"/>
  <c r="J137" i="35"/>
  <c r="P60" i="36" s="1"/>
  <c r="J294" i="35"/>
  <c r="P404" i="36" s="1"/>
  <c r="J296" i="35"/>
  <c r="P406" i="36" s="1"/>
  <c r="J151" i="35"/>
  <c r="P272" i="36" s="1"/>
  <c r="J145" i="35"/>
  <c r="P266" i="36" s="1"/>
  <c r="J280" i="35"/>
  <c r="P577" i="36" s="1"/>
  <c r="J438" i="35"/>
  <c r="P361" i="36" s="1"/>
  <c r="J431" i="35"/>
  <c r="P354" i="36" s="1"/>
  <c r="J308" i="35"/>
  <c r="P1012" i="36" s="1"/>
  <c r="J230" i="35"/>
  <c r="P659" i="36" s="1"/>
  <c r="J223" i="35"/>
  <c r="P652" i="36" s="1"/>
  <c r="J331" i="35"/>
  <c r="P738" i="36" s="1"/>
  <c r="J528" i="35"/>
  <c r="J521" i="35"/>
  <c r="J473" i="35"/>
  <c r="J464" i="35"/>
  <c r="J474" i="35"/>
  <c r="J465" i="35"/>
  <c r="J471" i="35"/>
  <c r="J466" i="35"/>
  <c r="J201" i="35"/>
  <c r="J209" i="35"/>
  <c r="J200" i="35"/>
  <c r="J206" i="35"/>
  <c r="J487" i="35"/>
  <c r="J488" i="35"/>
  <c r="J494" i="35"/>
  <c r="J489" i="35"/>
  <c r="J495" i="35"/>
  <c r="J490" i="35"/>
  <c r="J578" i="35"/>
  <c r="P875" i="36" s="1"/>
  <c r="J577" i="35"/>
  <c r="P874" i="36" s="1"/>
  <c r="J583" i="35"/>
  <c r="P880" i="36" s="1"/>
  <c r="J576" i="35"/>
  <c r="P873" i="36" s="1"/>
  <c r="J581" i="35"/>
  <c r="P878" i="36" s="1"/>
  <c r="J313" i="35"/>
  <c r="P621" i="36" s="1"/>
  <c r="J319" i="35"/>
  <c r="P627" i="36" s="1"/>
  <c r="J314" i="35"/>
  <c r="P622" i="36" s="1"/>
  <c r="J311" i="35"/>
  <c r="P619" i="36" s="1"/>
  <c r="J312" i="35"/>
  <c r="P620" i="36" s="1"/>
  <c r="J189" i="35"/>
  <c r="J195" i="35"/>
  <c r="J194" i="35"/>
  <c r="J197" i="35"/>
  <c r="J196" i="35"/>
  <c r="J198" i="35"/>
  <c r="J61" i="35"/>
  <c r="P248" i="36" s="1"/>
  <c r="J64" i="35"/>
  <c r="P251" i="36" s="1"/>
  <c r="J67" i="35"/>
  <c r="P254" i="36" s="1"/>
  <c r="J59" i="35"/>
  <c r="P246" i="36" s="1"/>
  <c r="J66" i="35"/>
  <c r="P253" i="36" s="1"/>
  <c r="J63" i="35"/>
  <c r="P250" i="36" s="1"/>
  <c r="H70" i="38"/>
  <c r="H117" i="38"/>
  <c r="E121" i="38"/>
  <c r="E249" i="38"/>
  <c r="E285" i="38"/>
  <c r="H200" i="38"/>
  <c r="H286" i="38"/>
  <c r="E210" i="38"/>
  <c r="E468" i="38"/>
  <c r="H218" i="38"/>
  <c r="E364" i="38"/>
  <c r="E469" i="38"/>
  <c r="H505" i="38"/>
  <c r="H259" i="38"/>
  <c r="H362" i="38"/>
  <c r="E378" i="38"/>
  <c r="H386" i="38"/>
  <c r="E466" i="38"/>
  <c r="H95" i="38"/>
  <c r="H51" i="38"/>
  <c r="H167" i="38"/>
  <c r="H279" i="38"/>
  <c r="E287" i="38"/>
  <c r="H299" i="38"/>
  <c r="H375" i="38"/>
  <c r="H507" i="38"/>
  <c r="H216" i="38"/>
  <c r="H168" i="38"/>
  <c r="E212" i="38"/>
  <c r="E360" i="38"/>
  <c r="H360" i="38"/>
  <c r="H212" i="38"/>
  <c r="E113" i="38"/>
  <c r="H277" i="38"/>
  <c r="H264" i="38"/>
  <c r="E214" i="38"/>
  <c r="H258" i="38"/>
  <c r="H260" i="38"/>
  <c r="E204" i="38"/>
  <c r="H460" i="38"/>
  <c r="E255" i="38"/>
  <c r="H465" i="38"/>
  <c r="H501" i="38"/>
  <c r="E362" i="38"/>
  <c r="H390" i="38"/>
  <c r="E454" i="38"/>
  <c r="H466" i="38"/>
  <c r="E91" i="38"/>
  <c r="E119" i="38"/>
  <c r="H171" i="38"/>
  <c r="H255" i="38"/>
  <c r="H283" i="38"/>
  <c r="H467" i="38"/>
  <c r="E208" i="38"/>
  <c r="H220" i="38"/>
  <c r="E390" i="38"/>
  <c r="E31" i="38"/>
  <c r="H115" i="38"/>
  <c r="E283" i="38"/>
  <c r="E367" i="38"/>
  <c r="E464" i="38"/>
  <c r="H503" i="38"/>
  <c r="H471" i="38"/>
  <c r="L611" i="35"/>
  <c r="N253" i="35"/>
  <c r="N252" i="35"/>
  <c r="N251" i="35"/>
  <c r="N41" i="35"/>
  <c r="N43" i="35"/>
  <c r="N232" i="35"/>
  <c r="N213" i="35"/>
  <c r="N446" i="35"/>
  <c r="N302" i="35"/>
  <c r="N306" i="35"/>
  <c r="N300" i="35"/>
  <c r="N304" i="35"/>
  <c r="N308" i="35"/>
  <c r="N301" i="35"/>
  <c r="N305" i="35"/>
  <c r="N309" i="35"/>
  <c r="N299" i="35"/>
  <c r="N307" i="35"/>
  <c r="N102" i="35"/>
  <c r="N106" i="35"/>
  <c r="N110" i="35"/>
  <c r="N104" i="35"/>
  <c r="N108" i="35"/>
  <c r="N101" i="35"/>
  <c r="N105" i="35"/>
  <c r="N109" i="35"/>
  <c r="N111" i="35"/>
  <c r="N103" i="35"/>
  <c r="N107" i="35"/>
  <c r="N134" i="35"/>
  <c r="N138" i="35"/>
  <c r="N142" i="35"/>
  <c r="N136" i="35"/>
  <c r="N140" i="35"/>
  <c r="N144" i="35"/>
  <c r="N137" i="35"/>
  <c r="N141" i="35"/>
  <c r="N143" i="35"/>
  <c r="N135" i="35"/>
  <c r="N139" i="35"/>
  <c r="N445" i="35"/>
  <c r="N449" i="35"/>
  <c r="N443" i="35"/>
  <c r="N447" i="35"/>
  <c r="N451" i="35"/>
  <c r="N444" i="35"/>
  <c r="N448" i="35"/>
  <c r="N452" i="35"/>
  <c r="N511" i="35"/>
  <c r="N515" i="35"/>
  <c r="N509" i="35"/>
  <c r="N513" i="35"/>
  <c r="N517" i="35"/>
  <c r="N510" i="35"/>
  <c r="N514" i="35"/>
  <c r="N518" i="35"/>
  <c r="N433" i="35"/>
  <c r="N437" i="35"/>
  <c r="N441" i="35"/>
  <c r="N431" i="35"/>
  <c r="N435" i="35"/>
  <c r="N439" i="35"/>
  <c r="N432" i="35"/>
  <c r="N436" i="35"/>
  <c r="N440" i="35"/>
  <c r="N202" i="35"/>
  <c r="N206" i="35"/>
  <c r="N210" i="35"/>
  <c r="N200" i="35"/>
  <c r="N204" i="35"/>
  <c r="N208" i="35"/>
  <c r="N201" i="35"/>
  <c r="N205" i="35"/>
  <c r="N209" i="35"/>
  <c r="N207" i="35"/>
  <c r="N203" i="35"/>
  <c r="N58" i="35"/>
  <c r="N62" i="35"/>
  <c r="N66" i="35"/>
  <c r="N60" i="35"/>
  <c r="N64" i="35"/>
  <c r="N57" i="35"/>
  <c r="N61" i="35"/>
  <c r="N65" i="35"/>
  <c r="N63" i="35"/>
  <c r="N59" i="35"/>
  <c r="N146" i="35"/>
  <c r="N150" i="35"/>
  <c r="N154" i="35"/>
  <c r="N148" i="35"/>
  <c r="N152" i="35"/>
  <c r="N145" i="35"/>
  <c r="N149" i="35"/>
  <c r="N153" i="35"/>
  <c r="N151" i="35"/>
  <c r="N155" i="35"/>
  <c r="N322" i="35"/>
  <c r="N326" i="35"/>
  <c r="N330" i="35"/>
  <c r="N324" i="35"/>
  <c r="N328" i="35"/>
  <c r="N323" i="35"/>
  <c r="N331" i="35"/>
  <c r="N327" i="35"/>
  <c r="N321" i="35"/>
  <c r="N329" i="35"/>
  <c r="N290" i="35"/>
  <c r="N294" i="35"/>
  <c r="N298" i="35"/>
  <c r="N288" i="35"/>
  <c r="N292" i="35"/>
  <c r="N296" i="35"/>
  <c r="N289" i="35"/>
  <c r="N293" i="35"/>
  <c r="N297" i="35"/>
  <c r="N291" i="35"/>
  <c r="N295" i="35"/>
  <c r="N218" i="35"/>
  <c r="N212" i="35"/>
  <c r="N217" i="35"/>
  <c r="N516" i="35"/>
  <c r="N438" i="35"/>
  <c r="N147" i="35"/>
  <c r="N246" i="35"/>
  <c r="N250" i="35"/>
  <c r="N221" i="35"/>
  <c r="N219" i="35"/>
  <c r="N618" i="35"/>
  <c r="N332" i="35"/>
  <c r="N336" i="35"/>
  <c r="N340" i="35"/>
  <c r="N337" i="35"/>
  <c r="N342" i="35"/>
  <c r="N334" i="35"/>
  <c r="N339" i="35"/>
  <c r="N335" i="35"/>
  <c r="N341" i="35"/>
  <c r="N170" i="35"/>
  <c r="N174" i="35"/>
  <c r="N168" i="35"/>
  <c r="N172" i="35"/>
  <c r="N176" i="35"/>
  <c r="N169" i="35"/>
  <c r="N173" i="35"/>
  <c r="N177" i="35"/>
  <c r="N175" i="35"/>
  <c r="N167" i="35"/>
  <c r="N171" i="35"/>
  <c r="N82" i="35"/>
  <c r="N86" i="35"/>
  <c r="N80" i="35"/>
  <c r="N84" i="35"/>
  <c r="N88" i="35"/>
  <c r="N81" i="35"/>
  <c r="N85" i="35"/>
  <c r="N89" i="35"/>
  <c r="N79" i="35"/>
  <c r="N87" i="35"/>
  <c r="N398" i="35"/>
  <c r="N402" i="35"/>
  <c r="N406" i="35"/>
  <c r="N400" i="35"/>
  <c r="N404" i="35"/>
  <c r="N408" i="35"/>
  <c r="N401" i="35"/>
  <c r="N405" i="35"/>
  <c r="N178" i="35"/>
  <c r="N182" i="35"/>
  <c r="N186" i="35"/>
  <c r="N180" i="35"/>
  <c r="N184" i="35"/>
  <c r="N188" i="35"/>
  <c r="N181" i="35"/>
  <c r="N185" i="35"/>
  <c r="N183" i="35"/>
  <c r="N187" i="35"/>
  <c r="N464" i="35"/>
  <c r="N468" i="35"/>
  <c r="N472" i="35"/>
  <c r="N466" i="35"/>
  <c r="N470" i="35"/>
  <c r="N474" i="35"/>
  <c r="N467" i="35"/>
  <c r="N471" i="35"/>
  <c r="N410" i="35"/>
  <c r="N414" i="35"/>
  <c r="N418" i="35"/>
  <c r="N412" i="35"/>
  <c r="N416" i="35"/>
  <c r="N409" i="35"/>
  <c r="N413" i="35"/>
  <c r="N417" i="35"/>
  <c r="N563" i="35"/>
  <c r="N567" i="35"/>
  <c r="N571" i="35"/>
  <c r="N564" i="35"/>
  <c r="N568" i="35"/>
  <c r="N572" i="35"/>
  <c r="N519" i="35"/>
  <c r="N523" i="35"/>
  <c r="N521" i="35"/>
  <c r="N525" i="35"/>
  <c r="N529" i="35"/>
  <c r="N522" i="35"/>
  <c r="N526" i="35"/>
  <c r="N462" i="35"/>
  <c r="N459" i="35"/>
  <c r="N457" i="35"/>
  <c r="N453" i="35"/>
  <c r="N463" i="35"/>
  <c r="N236" i="35"/>
  <c r="N240" i="35"/>
  <c r="N234" i="35"/>
  <c r="N238" i="35"/>
  <c r="N242" i="35"/>
  <c r="N235" i="35"/>
  <c r="N239" i="35"/>
  <c r="N243" i="35"/>
  <c r="N237" i="35"/>
  <c r="N241" i="35"/>
  <c r="N354" i="35"/>
  <c r="N358" i="35"/>
  <c r="N362" i="35"/>
  <c r="N356" i="35"/>
  <c r="N360" i="35"/>
  <c r="N364" i="35"/>
  <c r="N357" i="35"/>
  <c r="N361" i="35"/>
  <c r="N230" i="35"/>
  <c r="N224" i="35"/>
  <c r="N229" i="35"/>
  <c r="N573" i="35"/>
  <c r="N565" i="35"/>
  <c r="N527" i="35"/>
  <c r="N512" i="35"/>
  <c r="N450" i="35"/>
  <c r="N434" i="35"/>
  <c r="N407" i="35"/>
  <c r="N355" i="35"/>
  <c r="N338" i="35"/>
  <c r="N303" i="35"/>
  <c r="N67" i="35"/>
  <c r="N126" i="35"/>
  <c r="N130" i="35"/>
  <c r="N124" i="35"/>
  <c r="N128" i="35"/>
  <c r="N132" i="35"/>
  <c r="N125" i="35"/>
  <c r="N129" i="35"/>
  <c r="N133" i="35"/>
  <c r="N15" i="35"/>
  <c r="N19" i="35"/>
  <c r="N23" i="35"/>
  <c r="N13" i="35"/>
  <c r="N17" i="35"/>
  <c r="N21" i="35"/>
  <c r="N14" i="35"/>
  <c r="N18" i="35"/>
  <c r="N22" i="35"/>
  <c r="N278" i="35"/>
  <c r="N282" i="35"/>
  <c r="N286" i="35"/>
  <c r="N280" i="35"/>
  <c r="N284" i="35"/>
  <c r="N277" i="35"/>
  <c r="N281" i="35"/>
  <c r="N285" i="35"/>
  <c r="N46" i="35"/>
  <c r="N50" i="35"/>
  <c r="N54" i="35"/>
  <c r="N48" i="35"/>
  <c r="N52" i="35"/>
  <c r="N56" i="35"/>
  <c r="N49" i="35"/>
  <c r="N53" i="35"/>
  <c r="N310" i="35"/>
  <c r="N314" i="35"/>
  <c r="N318" i="35"/>
  <c r="N312" i="35"/>
  <c r="N316" i="35"/>
  <c r="N320" i="35"/>
  <c r="N313" i="35"/>
  <c r="N3" i="35"/>
  <c r="N7" i="35"/>
  <c r="N11" i="35"/>
  <c r="N5" i="35"/>
  <c r="N9" i="35"/>
  <c r="N6" i="35"/>
  <c r="N10" i="35"/>
  <c r="N2" i="35"/>
  <c r="N614" i="35"/>
  <c r="N610" i="35"/>
  <c r="N584" i="35"/>
  <c r="N580" i="35"/>
  <c r="N576" i="35"/>
  <c r="N538" i="35"/>
  <c r="N534" i="35"/>
  <c r="N530" i="35"/>
  <c r="N506" i="35"/>
  <c r="N502" i="35"/>
  <c r="N498" i="35"/>
  <c r="N675" i="35" s="1"/>
  <c r="N494" i="35"/>
  <c r="N490" i="35"/>
  <c r="N486" i="35"/>
  <c r="N397" i="35"/>
  <c r="N393" i="35"/>
  <c r="N389" i="35"/>
  <c r="N385" i="35"/>
  <c r="N381" i="35"/>
  <c r="N377" i="35"/>
  <c r="N373" i="35"/>
  <c r="N369" i="35"/>
  <c r="N365" i="35"/>
  <c r="N353" i="35"/>
  <c r="N349" i="35"/>
  <c r="N345" i="35"/>
  <c r="N311" i="35"/>
  <c r="N279" i="35"/>
  <c r="N123" i="35"/>
  <c r="N16" i="35"/>
  <c r="N70" i="35"/>
  <c r="N74" i="35"/>
  <c r="N78" i="35"/>
  <c r="N68" i="35"/>
  <c r="N72" i="35"/>
  <c r="N76" i="35"/>
  <c r="N69" i="35"/>
  <c r="N73" i="35"/>
  <c r="N77" i="35"/>
  <c r="N114" i="35"/>
  <c r="N118" i="35"/>
  <c r="N122" i="35"/>
  <c r="N112" i="35"/>
  <c r="N116" i="35"/>
  <c r="N120" i="35"/>
  <c r="N113" i="35"/>
  <c r="N117" i="35"/>
  <c r="N121" i="35"/>
  <c r="N27" i="35"/>
  <c r="N31" i="35"/>
  <c r="N25" i="35"/>
  <c r="N29" i="35"/>
  <c r="N33" i="35"/>
  <c r="N26" i="35"/>
  <c r="N30" i="35"/>
  <c r="N34" i="35"/>
  <c r="N158" i="35"/>
  <c r="N162" i="35"/>
  <c r="N166" i="35"/>
  <c r="N156" i="35"/>
  <c r="N160" i="35"/>
  <c r="N164" i="35"/>
  <c r="N157" i="35"/>
  <c r="N161" i="35"/>
  <c r="N165" i="35"/>
  <c r="N90" i="35"/>
  <c r="N94" i="35"/>
  <c r="N98" i="35"/>
  <c r="N92" i="35"/>
  <c r="N96" i="35"/>
  <c r="N100" i="35"/>
  <c r="N93" i="35"/>
  <c r="N97" i="35"/>
  <c r="N266" i="35"/>
  <c r="N270" i="35"/>
  <c r="N274" i="35"/>
  <c r="N268" i="35"/>
  <c r="N272" i="35"/>
  <c r="N276" i="35"/>
  <c r="N269" i="35"/>
  <c r="N273" i="35"/>
  <c r="N190" i="35"/>
  <c r="N194" i="35"/>
  <c r="N198" i="35"/>
  <c r="N192" i="35"/>
  <c r="N196" i="35"/>
  <c r="N189" i="35"/>
  <c r="N193" i="35"/>
  <c r="N197" i="35"/>
  <c r="N617" i="35"/>
  <c r="N613" i="35"/>
  <c r="N583" i="35"/>
  <c r="N579" i="35"/>
  <c r="N537" i="35"/>
  <c r="N505" i="35"/>
  <c r="N501" i="35"/>
  <c r="N493" i="35"/>
  <c r="N396" i="35"/>
  <c r="N392" i="35"/>
  <c r="N388" i="35"/>
  <c r="N384" i="35"/>
  <c r="N380" i="35"/>
  <c r="N372" i="35"/>
  <c r="N368" i="35"/>
  <c r="N352" i="35"/>
  <c r="N348" i="35"/>
  <c r="N344" i="35"/>
  <c r="N319" i="35"/>
  <c r="N275" i="35"/>
  <c r="N199" i="35"/>
  <c r="N119" i="35"/>
  <c r="N71" i="35"/>
  <c r="N55" i="35"/>
  <c r="N28" i="35"/>
  <c r="N12" i="35"/>
  <c r="N394" i="35"/>
  <c r="N374" i="35"/>
  <c r="N370" i="35"/>
  <c r="N350" i="35"/>
  <c r="N315" i="35"/>
  <c r="N283" i="35"/>
  <c r="N267" i="35"/>
  <c r="N191" i="35"/>
  <c r="N159" i="35"/>
  <c r="N127" i="35"/>
  <c r="N95" i="35"/>
  <c r="N47" i="35"/>
  <c r="N20" i="35"/>
  <c r="N4" i="35"/>
  <c r="P690" i="36"/>
  <c r="P54" i="36"/>
  <c r="P367" i="36"/>
  <c r="P373" i="36"/>
  <c r="P347" i="36"/>
  <c r="P698" i="36"/>
  <c r="P665" i="36"/>
  <c r="P1021" i="36"/>
  <c r="P1017" i="36"/>
  <c r="P1024" i="36"/>
  <c r="P1020" i="36"/>
  <c r="P1016" i="36"/>
  <c r="P1042" i="36"/>
  <c r="P1023" i="36"/>
  <c r="P1019" i="36"/>
  <c r="P1015" i="36"/>
  <c r="P1022" i="36"/>
  <c r="P1018" i="36"/>
  <c r="P1014" i="36"/>
  <c r="P942" i="36"/>
  <c r="G99" i="42" l="1"/>
  <c r="AA27" i="22"/>
  <c r="H387" i="35" s="1"/>
  <c r="E211" i="36" s="1"/>
  <c r="N211" i="36" s="1"/>
  <c r="C90" i="37" s="1"/>
  <c r="M50" i="22"/>
  <c r="AA50" i="22" s="1"/>
  <c r="P146" i="36"/>
  <c r="J675" i="35"/>
  <c r="P147" i="36"/>
  <c r="J676" i="35"/>
  <c r="P145" i="36"/>
  <c r="J674" i="35"/>
  <c r="AB17" i="22"/>
  <c r="F59" i="35" s="1"/>
  <c r="H152" i="38"/>
  <c r="E178" i="38"/>
  <c r="E304" i="38"/>
  <c r="E401" i="38"/>
  <c r="H24" i="38"/>
  <c r="E328" i="38"/>
  <c r="E106" i="38"/>
  <c r="E288" i="38"/>
  <c r="V6" i="21"/>
  <c r="AH6" i="21" s="1"/>
  <c r="M44" i="22"/>
  <c r="AA44" i="22" s="1"/>
  <c r="AB42" i="22"/>
  <c r="N20" i="22"/>
  <c r="AB20" i="22" s="1"/>
  <c r="AA4" i="22"/>
  <c r="H211" i="35" s="1"/>
  <c r="E1036" i="36" s="1"/>
  <c r="N1036" i="36" s="1"/>
  <c r="AA6" i="22"/>
  <c r="H2" i="35" s="1"/>
  <c r="AA14" i="22"/>
  <c r="H531" i="35" s="1"/>
  <c r="E883" i="36" s="1"/>
  <c r="N883" i="36" s="1"/>
  <c r="AB11" i="22"/>
  <c r="F237" i="35" s="1"/>
  <c r="AA56" i="22"/>
  <c r="H654" i="35" s="1"/>
  <c r="AA57" i="22"/>
  <c r="H663" i="35" s="1"/>
  <c r="E1199" i="36" s="1"/>
  <c r="N1199" i="36" s="1"/>
  <c r="AA13" i="22"/>
  <c r="I145" i="35" s="1"/>
  <c r="F266" i="36" s="1"/>
  <c r="O266" i="36" s="1"/>
  <c r="AA35" i="22"/>
  <c r="I14" i="35" s="1"/>
  <c r="F520" i="36" s="1"/>
  <c r="O520" i="36" s="1"/>
  <c r="AA10" i="22"/>
  <c r="H376" i="35" s="1"/>
  <c r="E255" i="36" s="1"/>
  <c r="N255" i="36" s="1"/>
  <c r="AA7" i="22"/>
  <c r="T5" i="21"/>
  <c r="AF5" i="21" s="1"/>
  <c r="M42" i="22"/>
  <c r="AA42" i="22" s="1"/>
  <c r="H565" i="35" s="1"/>
  <c r="E1016" i="36" s="1"/>
  <c r="N1016" i="36" s="1"/>
  <c r="AB23" i="22"/>
  <c r="F201" i="35" s="1"/>
  <c r="AA9" i="22"/>
  <c r="AF7" i="21"/>
  <c r="AB58" i="22"/>
  <c r="F621" i="35" s="1"/>
  <c r="AB10" i="22"/>
  <c r="G376" i="35" s="1"/>
  <c r="N48" i="22"/>
  <c r="AB48" i="22" s="1"/>
  <c r="AI7" i="21"/>
  <c r="AA26" i="22"/>
  <c r="H159" i="35" s="1"/>
  <c r="E115" i="36" s="1"/>
  <c r="N115" i="36" s="1"/>
  <c r="AA23" i="22"/>
  <c r="H200" i="35" s="1"/>
  <c r="E981" i="36" s="1"/>
  <c r="N981" i="36" s="1"/>
  <c r="D103" i="42"/>
  <c r="D105" i="42" s="1"/>
  <c r="H109" i="42" s="1"/>
  <c r="AB41" i="22"/>
  <c r="F490" i="35" s="1"/>
  <c r="E501" i="38"/>
  <c r="E368" i="38"/>
  <c r="E393" i="38"/>
  <c r="AB27" i="22"/>
  <c r="F8" i="42"/>
  <c r="B19" i="42" s="1"/>
  <c r="F20" i="42" s="1"/>
  <c r="F23" i="42" s="1"/>
  <c r="G9" i="42"/>
  <c r="U6" i="21"/>
  <c r="AG6" i="21" s="1"/>
  <c r="N50" i="22"/>
  <c r="AB50" i="22" s="1"/>
  <c r="N44" i="22"/>
  <c r="AB44" i="22" s="1"/>
  <c r="AB54" i="22"/>
  <c r="F645" i="35" s="1"/>
  <c r="AB37" i="22"/>
  <c r="F103" i="35" s="1"/>
  <c r="F97" i="42"/>
  <c r="F100" i="42"/>
  <c r="AM4" i="21"/>
  <c r="I222" i="35"/>
  <c r="F651" i="36" s="1"/>
  <c r="O651" i="36" s="1"/>
  <c r="E261" i="38"/>
  <c r="E275" i="38"/>
  <c r="AB28" i="22"/>
  <c r="AB35" i="22"/>
  <c r="F15" i="35" s="1"/>
  <c r="G29" i="42"/>
  <c r="AE6" i="21"/>
  <c r="O62" i="21"/>
  <c r="H586" i="35" s="1"/>
  <c r="E25" i="36" s="1"/>
  <c r="N25" i="36" s="1"/>
  <c r="G80" i="21"/>
  <c r="M52" i="22"/>
  <c r="AA52" i="22" s="1"/>
  <c r="H455" i="35" s="1"/>
  <c r="G10" i="42"/>
  <c r="D15" i="42" s="1"/>
  <c r="D16" i="42" s="1"/>
  <c r="B17" i="42" s="1"/>
  <c r="D20" i="42" s="1"/>
  <c r="D23" i="42" s="1"/>
  <c r="W6" i="21"/>
  <c r="AI6" i="21" s="1"/>
  <c r="AA54" i="22"/>
  <c r="AB3" i="22"/>
  <c r="F222" i="35" s="1"/>
  <c r="AB30" i="22"/>
  <c r="F345" i="35" s="1"/>
  <c r="G79" i="21"/>
  <c r="N52" i="22"/>
  <c r="AB52" i="22" s="1"/>
  <c r="F838" i="36"/>
  <c r="F486" i="36"/>
  <c r="F541" i="36"/>
  <c r="F156" i="36"/>
  <c r="F178" i="36"/>
  <c r="F299" i="36"/>
  <c r="F332" i="36"/>
  <c r="AB45" i="22"/>
  <c r="F446" i="35" s="1"/>
  <c r="M18" i="22"/>
  <c r="AA40" i="22"/>
  <c r="H300" i="35" s="1"/>
  <c r="E1004" i="36" s="1"/>
  <c r="N1004" i="36" s="1"/>
  <c r="J63" i="21"/>
  <c r="G81" i="21"/>
  <c r="AA53" i="22"/>
  <c r="AF6" i="21"/>
  <c r="N6" i="22"/>
  <c r="AB6" i="22" s="1"/>
  <c r="F99" i="42"/>
  <c r="H279" i="35"/>
  <c r="E587" i="36" s="1"/>
  <c r="N587" i="36" s="1"/>
  <c r="AA36" i="22"/>
  <c r="H169" i="35" s="1"/>
  <c r="E455" i="36" s="1"/>
  <c r="N455" i="36" s="1"/>
  <c r="I101" i="35"/>
  <c r="G98" i="42"/>
  <c r="AB56" i="22"/>
  <c r="P369" i="36"/>
  <c r="P353" i="36"/>
  <c r="P997" i="36"/>
  <c r="P52" i="36"/>
  <c r="P380" i="36"/>
  <c r="P669" i="36"/>
  <c r="P1152" i="36"/>
  <c r="P664" i="36"/>
  <c r="P1147" i="36"/>
  <c r="P671" i="36"/>
  <c r="P1154" i="36"/>
  <c r="P662" i="36"/>
  <c r="P1145" i="36"/>
  <c r="P672" i="36"/>
  <c r="P1155" i="36"/>
  <c r="P666" i="36"/>
  <c r="P1149" i="36"/>
  <c r="P668" i="36"/>
  <c r="P1151" i="36"/>
  <c r="P368" i="36"/>
  <c r="P1235" i="36"/>
  <c r="P372" i="36"/>
  <c r="P1239" i="36"/>
  <c r="P663" i="36"/>
  <c r="P1146" i="36"/>
  <c r="P374" i="36"/>
  <c r="P1241" i="36"/>
  <c r="P375" i="36"/>
  <c r="P1242" i="36"/>
  <c r="P371" i="36"/>
  <c r="P1238" i="36"/>
  <c r="AM7" i="21"/>
  <c r="AL4" i="21"/>
  <c r="E105" i="38"/>
  <c r="H38" i="38"/>
  <c r="H325" i="38"/>
  <c r="H213" i="38"/>
  <c r="E265" i="38"/>
  <c r="H105" i="38"/>
  <c r="E423" i="38"/>
  <c r="E397" i="38"/>
  <c r="E325" i="38"/>
  <c r="E379" i="38"/>
  <c r="H397" i="38"/>
  <c r="H303" i="38"/>
  <c r="H102" i="38"/>
  <c r="E38" i="38"/>
  <c r="H304" i="38"/>
  <c r="H311" i="38"/>
  <c r="E372" i="38"/>
  <c r="E84" i="38"/>
  <c r="H379" i="38"/>
  <c r="H372" i="38"/>
  <c r="H401" i="38"/>
  <c r="E476" i="38"/>
  <c r="E318" i="38"/>
  <c r="P896" i="36"/>
  <c r="G8" i="42"/>
  <c r="AB38" i="22"/>
  <c r="F113" i="35" s="1"/>
  <c r="N18" i="22"/>
  <c r="AB18" i="22" s="1"/>
  <c r="F267" i="35" s="1"/>
  <c r="S5" i="21"/>
  <c r="AE5" i="21" s="1"/>
  <c r="N13" i="22"/>
  <c r="AB13" i="22" s="1"/>
  <c r="M51" i="22"/>
  <c r="AA51" i="22" s="1"/>
  <c r="H310" i="35" s="1"/>
  <c r="E805" i="36" s="1"/>
  <c r="N805" i="36" s="1"/>
  <c r="U5" i="21"/>
  <c r="AG5" i="21" s="1"/>
  <c r="F29" i="42"/>
  <c r="N8" i="22"/>
  <c r="AB8" i="22" s="1"/>
  <c r="N29" i="22"/>
  <c r="AB29" i="22" s="1"/>
  <c r="AB14" i="22"/>
  <c r="F530" i="35" s="1"/>
  <c r="D77" i="21"/>
  <c r="N9" i="22"/>
  <c r="AB9" i="22" s="1"/>
  <c r="F191" i="35" s="1"/>
  <c r="AL7" i="21"/>
  <c r="Y6" i="21"/>
  <c r="AK6" i="21" s="1"/>
  <c r="AB4" i="22"/>
  <c r="F215" i="35" s="1"/>
  <c r="M24" i="22"/>
  <c r="AA24" i="22" s="1"/>
  <c r="H90" i="35" s="1"/>
  <c r="E750" i="36" s="1"/>
  <c r="N750" i="36" s="1"/>
  <c r="M43" i="22"/>
  <c r="AA43" i="22" s="1"/>
  <c r="I464" i="35" s="1"/>
  <c r="F893" i="36" s="1"/>
  <c r="O893" i="36" s="1"/>
  <c r="P208" i="36"/>
  <c r="P1229" i="36"/>
  <c r="P210" i="36"/>
  <c r="P1231" i="36"/>
  <c r="P205" i="36"/>
  <c r="P1226" i="36"/>
  <c r="P202" i="36"/>
  <c r="P1223" i="36"/>
  <c r="P209" i="36"/>
  <c r="P1230" i="36"/>
  <c r="P201" i="36"/>
  <c r="P1222" i="36"/>
  <c r="P206" i="36"/>
  <c r="P1227" i="36"/>
  <c r="P207" i="36"/>
  <c r="P1228" i="36"/>
  <c r="P200" i="36"/>
  <c r="P1221" i="36"/>
  <c r="P204" i="36"/>
  <c r="P1225" i="36"/>
  <c r="U7" i="21"/>
  <c r="AG7" i="21" s="1"/>
  <c r="F554" i="35"/>
  <c r="F543" i="35"/>
  <c r="Y7" i="21"/>
  <c r="AK7" i="21" s="1"/>
  <c r="C79" i="21"/>
  <c r="F542" i="35"/>
  <c r="F553" i="35"/>
  <c r="F552" i="35"/>
  <c r="F541" i="35"/>
  <c r="S7" i="21"/>
  <c r="AE7" i="21" s="1"/>
  <c r="M5" i="22"/>
  <c r="AA5" i="22" s="1"/>
  <c r="H574" i="35" s="1"/>
  <c r="E871" i="36" s="1"/>
  <c r="N871" i="36" s="1"/>
  <c r="F98" i="42"/>
  <c r="N51" i="22"/>
  <c r="AB51" i="22" s="1"/>
  <c r="F664" i="35"/>
  <c r="F663" i="35"/>
  <c r="F665" i="35"/>
  <c r="G663" i="35"/>
  <c r="F667" i="35"/>
  <c r="H665" i="35"/>
  <c r="E1201" i="36" s="1"/>
  <c r="N1201" i="36" s="1"/>
  <c r="F564" i="35"/>
  <c r="G563" i="35"/>
  <c r="F565" i="35"/>
  <c r="F563" i="35"/>
  <c r="F567" i="35"/>
  <c r="F112" i="35"/>
  <c r="F442" i="35"/>
  <c r="F57" i="35"/>
  <c r="F61" i="35"/>
  <c r="F58" i="35"/>
  <c r="F79" i="35"/>
  <c r="F81" i="35"/>
  <c r="F83" i="35"/>
  <c r="G79" i="35"/>
  <c r="F80" i="35"/>
  <c r="G233" i="35"/>
  <c r="F235" i="35"/>
  <c r="G409" i="35"/>
  <c r="F410" i="35"/>
  <c r="F409" i="35"/>
  <c r="F411" i="35"/>
  <c r="F413" i="35"/>
  <c r="F277" i="35"/>
  <c r="F279" i="35"/>
  <c r="F281" i="35"/>
  <c r="G277" i="35"/>
  <c r="F278" i="35"/>
  <c r="F608" i="35"/>
  <c r="F607" i="35"/>
  <c r="F611" i="35"/>
  <c r="G607" i="35"/>
  <c r="F609" i="35"/>
  <c r="F101" i="35"/>
  <c r="F105" i="35"/>
  <c r="F102" i="35"/>
  <c r="F69" i="35"/>
  <c r="G68" i="35"/>
  <c r="F68" i="35"/>
  <c r="F70" i="35"/>
  <c r="F72" i="35"/>
  <c r="F134" i="35"/>
  <c r="F136" i="35"/>
  <c r="F138" i="35"/>
  <c r="F135" i="35"/>
  <c r="G134" i="35"/>
  <c r="F630" i="35"/>
  <c r="F634" i="35"/>
  <c r="F632" i="35"/>
  <c r="F631" i="35"/>
  <c r="G630" i="35"/>
  <c r="F321" i="35"/>
  <c r="F323" i="35"/>
  <c r="F325" i="35"/>
  <c r="G321" i="35"/>
  <c r="F322" i="35"/>
  <c r="F387" i="35"/>
  <c r="F389" i="35"/>
  <c r="F391" i="35"/>
  <c r="G387" i="35"/>
  <c r="F388" i="35"/>
  <c r="F178" i="35"/>
  <c r="F180" i="35"/>
  <c r="F182" i="35"/>
  <c r="F179" i="35"/>
  <c r="G178" i="35"/>
  <c r="F202" i="35"/>
  <c r="G343" i="35"/>
  <c r="F25" i="35"/>
  <c r="G24" i="35"/>
  <c r="F26" i="35"/>
  <c r="F28" i="35"/>
  <c r="F24" i="35"/>
  <c r="F642" i="35"/>
  <c r="F13" i="35"/>
  <c r="F17" i="35"/>
  <c r="F14" i="35"/>
  <c r="F156" i="35"/>
  <c r="F158" i="35"/>
  <c r="F160" i="35"/>
  <c r="F157" i="35"/>
  <c r="G156" i="35"/>
  <c r="M21" i="22"/>
  <c r="AA21" i="22" s="1"/>
  <c r="F244" i="35"/>
  <c r="F246" i="35"/>
  <c r="F248" i="35"/>
  <c r="G244" i="35"/>
  <c r="F245" i="35"/>
  <c r="F487" i="35"/>
  <c r="F376" i="35"/>
  <c r="G167" i="35"/>
  <c r="F168" i="35"/>
  <c r="F167" i="35"/>
  <c r="F169" i="35"/>
  <c r="F171" i="35"/>
  <c r="F333" i="35"/>
  <c r="F332" i="35"/>
  <c r="F618" i="35" s="1"/>
  <c r="F334" i="35"/>
  <c r="F336" i="35"/>
  <c r="G332" i="35"/>
  <c r="G618" i="35" s="1"/>
  <c r="F399" i="35"/>
  <c r="G398" i="35"/>
  <c r="F398" i="35"/>
  <c r="F402" i="35"/>
  <c r="F400" i="35"/>
  <c r="F189" i="35"/>
  <c r="AB16" i="22"/>
  <c r="P51" i="36"/>
  <c r="P46" i="36"/>
  <c r="P474" i="36"/>
  <c r="P352" i="36"/>
  <c r="P703" i="36"/>
  <c r="P350" i="36"/>
  <c r="P49" i="36"/>
  <c r="P695" i="36"/>
  <c r="P689" i="36"/>
  <c r="H108" i="42"/>
  <c r="E28" i="38"/>
  <c r="H318" i="38"/>
  <c r="E303" i="38"/>
  <c r="H110" i="38"/>
  <c r="E138" i="38"/>
  <c r="E416" i="38"/>
  <c r="H114" i="38"/>
  <c r="H160" i="38"/>
  <c r="H484" i="38"/>
  <c r="E191" i="38"/>
  <c r="H267" i="38"/>
  <c r="E345" i="38"/>
  <c r="E484" i="38"/>
  <c r="H257" i="38"/>
  <c r="H389" i="38"/>
  <c r="H101" i="38"/>
  <c r="E446" i="38"/>
  <c r="H275" i="38"/>
  <c r="H56" i="38"/>
  <c r="E93" i="38"/>
  <c r="H368" i="38"/>
  <c r="E195" i="38"/>
  <c r="E32" i="38"/>
  <c r="E69" i="38"/>
  <c r="H164" i="38"/>
  <c r="H300" i="38"/>
  <c r="H32" i="38"/>
  <c r="H194" i="38"/>
  <c r="H254" i="38"/>
  <c r="H261" i="38"/>
  <c r="H80" i="38"/>
  <c r="E142" i="38"/>
  <c r="H69" i="38"/>
  <c r="E114" i="38"/>
  <c r="E371" i="38"/>
  <c r="H185" i="38"/>
  <c r="H138" i="38"/>
  <c r="E250" i="38"/>
  <c r="H159" i="38"/>
  <c r="H434" i="38"/>
  <c r="E257" i="38"/>
  <c r="H247" i="38"/>
  <c r="H293" i="38"/>
  <c r="E52" i="38"/>
  <c r="H405" i="38"/>
  <c r="H288" i="38"/>
  <c r="E48" i="38"/>
  <c r="H345" i="38"/>
  <c r="E186" i="38"/>
  <c r="H186" i="38"/>
  <c r="E389" i="38"/>
  <c r="E314" i="38"/>
  <c r="H142" i="38"/>
  <c r="H250" i="38"/>
  <c r="H641" i="35"/>
  <c r="E1166" i="36" s="1"/>
  <c r="N1166" i="36" s="1"/>
  <c r="I641" i="35"/>
  <c r="F1166" i="36" s="1"/>
  <c r="O1166" i="36" s="1"/>
  <c r="H642" i="35"/>
  <c r="E1167" i="36" s="1"/>
  <c r="N1167" i="36" s="1"/>
  <c r="H643" i="35"/>
  <c r="E1168" i="36" s="1"/>
  <c r="N1168" i="36" s="1"/>
  <c r="E73" i="38"/>
  <c r="H73" i="38"/>
  <c r="H314" i="38"/>
  <c r="E333" i="38"/>
  <c r="E253" i="38"/>
  <c r="H274" i="38"/>
  <c r="H292" i="38"/>
  <c r="H273" i="38"/>
  <c r="H188" i="38"/>
  <c r="E30" i="38"/>
  <c r="E414" i="38"/>
  <c r="E140" i="38"/>
  <c r="E359" i="38"/>
  <c r="E273" i="38"/>
  <c r="H437" i="38"/>
  <c r="H418" i="38"/>
  <c r="H253" i="38"/>
  <c r="E97" i="38"/>
  <c r="H140" i="38"/>
  <c r="E458" i="38"/>
  <c r="E418" i="38"/>
  <c r="H359" i="38"/>
  <c r="E40" i="38"/>
  <c r="H333" i="38"/>
  <c r="H40" i="38"/>
  <c r="H97" i="38"/>
  <c r="E197" i="38"/>
  <c r="H61" i="38"/>
  <c r="P464" i="36"/>
  <c r="G55" i="42"/>
  <c r="B59" i="42" s="1"/>
  <c r="N15" i="22"/>
  <c r="AB15" i="22" s="1"/>
  <c r="N21" i="22"/>
  <c r="AB21" i="22" s="1"/>
  <c r="H542" i="35"/>
  <c r="E3" i="36" s="1"/>
  <c r="N3" i="36" s="1"/>
  <c r="H553" i="35"/>
  <c r="E14" i="36" s="1"/>
  <c r="N14" i="36" s="1"/>
  <c r="H541" i="35"/>
  <c r="E2" i="36" s="1"/>
  <c r="N2" i="36" s="1"/>
  <c r="E13" i="36"/>
  <c r="N13" i="36" s="1"/>
  <c r="H554" i="35"/>
  <c r="E15" i="36" s="1"/>
  <c r="N15" i="36" s="1"/>
  <c r="H543" i="35"/>
  <c r="E4" i="36" s="1"/>
  <c r="N4" i="36" s="1"/>
  <c r="AA45" i="22"/>
  <c r="I442" i="35" s="1"/>
  <c r="H343" i="35"/>
  <c r="E915" i="36" s="1"/>
  <c r="N915" i="36" s="1"/>
  <c r="H123" i="35"/>
  <c r="E937" i="36" s="1"/>
  <c r="N937" i="36" s="1"/>
  <c r="AA11" i="22"/>
  <c r="H234" i="35" s="1"/>
  <c r="AA49" i="22"/>
  <c r="H332" i="35" s="1"/>
  <c r="H178" i="35"/>
  <c r="E783" i="36" s="1"/>
  <c r="N783" i="36" s="1"/>
  <c r="I79" i="35"/>
  <c r="O486" i="36" s="1"/>
  <c r="AA46" i="22"/>
  <c r="I497" i="35" s="1"/>
  <c r="I674" i="35" s="1"/>
  <c r="AA18" i="22"/>
  <c r="H266" i="35" s="1"/>
  <c r="E596" i="36" s="1"/>
  <c r="N596" i="36" s="1"/>
  <c r="E377" i="38"/>
  <c r="E82" i="38"/>
  <c r="E350" i="38"/>
  <c r="H86" i="38"/>
  <c r="H630" i="35"/>
  <c r="E1134" i="36" s="1"/>
  <c r="N1134" i="36" s="1"/>
  <c r="H632" i="35"/>
  <c r="E1136" i="36" s="1"/>
  <c r="N1136" i="36" s="1"/>
  <c r="I630" i="35"/>
  <c r="F1134" i="36" s="1"/>
  <c r="O1134" i="36" s="1"/>
  <c r="H631" i="35"/>
  <c r="E1135" i="36" s="1"/>
  <c r="N1135" i="36" s="1"/>
  <c r="H174" i="38"/>
  <c r="H66" i="38"/>
  <c r="H65" i="38"/>
  <c r="E162" i="38"/>
  <c r="E308" i="38"/>
  <c r="E62" i="38"/>
  <c r="E442" i="38"/>
  <c r="H482" i="38"/>
  <c r="E226" i="38"/>
  <c r="E450" i="38"/>
  <c r="E174" i="38"/>
  <c r="E98" i="38"/>
  <c r="H162" i="38"/>
  <c r="E482" i="38"/>
  <c r="H37" i="38"/>
  <c r="H173" i="38"/>
  <c r="H290" i="38"/>
  <c r="E94" i="38"/>
  <c r="H29" i="38"/>
  <c r="E290" i="38"/>
  <c r="H190" i="38"/>
  <c r="E190" i="38"/>
  <c r="E298" i="38"/>
  <c r="E326" i="38"/>
  <c r="P691" i="36"/>
  <c r="AB2" i="22"/>
  <c r="Y4" i="21"/>
  <c r="AK4" i="21" s="1"/>
  <c r="S4" i="21"/>
  <c r="AE4" i="21" s="1"/>
  <c r="P705" i="36"/>
  <c r="P344" i="36"/>
  <c r="P552" i="36"/>
  <c r="P365" i="36"/>
  <c r="P685" i="36"/>
  <c r="P633" i="36"/>
  <c r="P996" i="36"/>
  <c r="P465" i="36"/>
  <c r="P284" i="36"/>
  <c r="P697" i="36"/>
  <c r="P704" i="36"/>
  <c r="P458" i="36"/>
  <c r="P370" i="36"/>
  <c r="P283" i="36"/>
  <c r="P287" i="36"/>
  <c r="P461" i="36"/>
  <c r="P991" i="36"/>
  <c r="AB47" i="22"/>
  <c r="AB7" i="22"/>
  <c r="AB5" i="22"/>
  <c r="I387" i="35"/>
  <c r="F211" i="36" s="1"/>
  <c r="O211" i="36" s="1"/>
  <c r="D90" i="37" s="1"/>
  <c r="H222" i="35"/>
  <c r="E651" i="36" s="1"/>
  <c r="N651" i="36" s="1"/>
  <c r="H255" i="35"/>
  <c r="E189" i="36" s="1"/>
  <c r="N189" i="36" s="1"/>
  <c r="H101" i="35"/>
  <c r="E849" i="36" s="1"/>
  <c r="N849" i="36" s="1"/>
  <c r="AB40" i="22"/>
  <c r="I68" i="35"/>
  <c r="O541" i="36" s="1"/>
  <c r="H68" i="35"/>
  <c r="E530" i="36" s="1"/>
  <c r="N530" i="36" s="1"/>
  <c r="H508" i="35"/>
  <c r="E420" i="36" s="1"/>
  <c r="N420" i="36" s="1"/>
  <c r="H510" i="35"/>
  <c r="E422" i="36" s="1"/>
  <c r="N422" i="36" s="1"/>
  <c r="AB24" i="22"/>
  <c r="I343" i="35"/>
  <c r="F915" i="36" s="1"/>
  <c r="O915" i="36" s="1"/>
  <c r="H79" i="35"/>
  <c r="E816" i="36" s="1"/>
  <c r="N816" i="36" s="1"/>
  <c r="H80" i="35"/>
  <c r="E817" i="36" s="1"/>
  <c r="N817" i="36" s="1"/>
  <c r="I376" i="35"/>
  <c r="F255" i="36" s="1"/>
  <c r="O255" i="36" s="1"/>
  <c r="I619" i="35"/>
  <c r="F1123" i="36" s="1"/>
  <c r="O1123" i="36" s="1"/>
  <c r="H26" i="35"/>
  <c r="E499" i="36" s="1"/>
  <c r="N499" i="36" s="1"/>
  <c r="I24" i="35"/>
  <c r="F497" i="36" s="1"/>
  <c r="O497" i="36" s="1"/>
  <c r="P667" i="36"/>
  <c r="P459" i="36"/>
  <c r="P470" i="36"/>
  <c r="P460" i="36"/>
  <c r="P471" i="36"/>
  <c r="P468" i="36"/>
  <c r="P457" i="36"/>
  <c r="P462" i="36"/>
  <c r="P473" i="36"/>
  <c r="P456" i="36"/>
  <c r="P467" i="36"/>
  <c r="H389" i="35"/>
  <c r="E125" i="36" s="1"/>
  <c r="N125" i="36" s="1"/>
  <c r="I277" i="35"/>
  <c r="F585" i="36" s="1"/>
  <c r="O585" i="36" s="1"/>
  <c r="H102" i="35"/>
  <c r="E949" i="36" s="1"/>
  <c r="N949" i="36" s="1"/>
  <c r="H277" i="35"/>
  <c r="E574" i="36" s="1"/>
  <c r="N574" i="36" s="1"/>
  <c r="H179" i="35"/>
  <c r="E773" i="36" s="1"/>
  <c r="N773" i="36" s="1"/>
  <c r="H146" i="35"/>
  <c r="E267" i="36" s="1"/>
  <c r="N267" i="36" s="1"/>
  <c r="H355" i="35"/>
  <c r="E102" i="36" s="1"/>
  <c r="N102" i="36" s="1"/>
  <c r="H278" i="35"/>
  <c r="E575" i="36" s="1"/>
  <c r="N575" i="36" s="1"/>
  <c r="H388" i="35"/>
  <c r="E212" i="36" s="1"/>
  <c r="N212" i="36" s="1"/>
  <c r="C91" i="37" s="1"/>
  <c r="I178" i="35"/>
  <c r="F772" i="36" s="1"/>
  <c r="O772" i="36" s="1"/>
  <c r="H25" i="35"/>
  <c r="E509" i="36" s="1"/>
  <c r="N509" i="36" s="1"/>
  <c r="H223" i="35"/>
  <c r="E652" i="36" s="1"/>
  <c r="N652" i="36" s="1"/>
  <c r="E497" i="36"/>
  <c r="N497" i="36" s="1"/>
  <c r="H344" i="35"/>
  <c r="E432" i="36" s="1"/>
  <c r="N432" i="36" s="1"/>
  <c r="H69" i="35"/>
  <c r="E531" i="36" s="1"/>
  <c r="N531" i="36" s="1"/>
  <c r="H620" i="35"/>
  <c r="E1113" i="36" s="1"/>
  <c r="N1113" i="36" s="1"/>
  <c r="I530" i="35"/>
  <c r="F882" i="36" s="1"/>
  <c r="O882" i="36" s="1"/>
  <c r="H256" i="35"/>
  <c r="E190" i="36" s="1"/>
  <c r="N190" i="36" s="1"/>
  <c r="H257" i="35"/>
  <c r="E191" i="36" s="1"/>
  <c r="N191" i="36" s="1"/>
  <c r="H378" i="35"/>
  <c r="E257" i="36" s="1"/>
  <c r="N257" i="36" s="1"/>
  <c r="I508" i="35"/>
  <c r="F420" i="36" s="1"/>
  <c r="O420" i="36" s="1"/>
  <c r="H400" i="35"/>
  <c r="E609" i="36" s="1"/>
  <c r="N609" i="36" s="1"/>
  <c r="H70" i="35"/>
  <c r="E532" i="36" s="1"/>
  <c r="N532" i="36" s="1"/>
  <c r="H81" i="35"/>
  <c r="H509" i="35"/>
  <c r="E421" i="36" s="1"/>
  <c r="N421" i="36" s="1"/>
  <c r="O63" i="21"/>
  <c r="H587" i="35" s="1"/>
  <c r="E26" i="36" s="1"/>
  <c r="N26" i="36" s="1"/>
  <c r="H422" i="35"/>
  <c r="E444" i="36" s="1"/>
  <c r="N444" i="36" s="1"/>
  <c r="C37" i="37" s="1"/>
  <c r="T63" i="21"/>
  <c r="H598" i="35" s="1"/>
  <c r="E37" i="36" s="1"/>
  <c r="N37" i="36" s="1"/>
  <c r="H103" i="35"/>
  <c r="E950" i="36" s="1"/>
  <c r="N950" i="36" s="1"/>
  <c r="H345" i="35"/>
  <c r="E433" i="36" s="1"/>
  <c r="N433" i="36" s="1"/>
  <c r="H224" i="35"/>
  <c r="E653" i="36" s="1"/>
  <c r="N653" i="36" s="1"/>
  <c r="H621" i="35"/>
  <c r="E1114" i="36" s="1"/>
  <c r="N1114" i="36" s="1"/>
  <c r="H180" i="35"/>
  <c r="E774" i="36" s="1"/>
  <c r="N774" i="36" s="1"/>
  <c r="N63" i="21"/>
  <c r="F587" i="35" s="1"/>
  <c r="S63" i="21"/>
  <c r="F598" i="35" s="1"/>
  <c r="N65" i="21"/>
  <c r="F589" i="35" s="1"/>
  <c r="B64" i="21"/>
  <c r="F390" i="35" s="1"/>
  <c r="F66" i="21"/>
  <c r="C65" i="21"/>
  <c r="C64" i="21"/>
  <c r="H644" i="35" s="1"/>
  <c r="E1169" i="36" s="1"/>
  <c r="N1169" i="36" s="1"/>
  <c r="I288" i="35"/>
  <c r="F409" i="36" s="1"/>
  <c r="O409" i="36" s="1"/>
  <c r="H299" i="35"/>
  <c r="E1003" i="36" s="1"/>
  <c r="N1003" i="36" s="1"/>
  <c r="H290" i="35"/>
  <c r="E400" i="36" s="1"/>
  <c r="N400" i="36" s="1"/>
  <c r="H289" i="35"/>
  <c r="E410" i="36" s="1"/>
  <c r="N410" i="36" s="1"/>
  <c r="H410" i="35"/>
  <c r="E1048" i="36" s="1"/>
  <c r="N1048" i="36" s="1"/>
  <c r="H421" i="35"/>
  <c r="E223" i="36" s="1"/>
  <c r="N223" i="36" s="1"/>
  <c r="H114" i="35"/>
  <c r="E961" i="36" s="1"/>
  <c r="N961" i="36" s="1"/>
  <c r="I112" i="35"/>
  <c r="H420" i="35"/>
  <c r="E222" i="36" s="1"/>
  <c r="N222" i="36" s="1"/>
  <c r="H291" i="35"/>
  <c r="E401" i="36" s="1"/>
  <c r="N401" i="36" s="1"/>
  <c r="H411" i="35"/>
  <c r="E1049" i="36" s="1"/>
  <c r="N1049" i="36" s="1"/>
  <c r="H530" i="35"/>
  <c r="E882" i="36" s="1"/>
  <c r="N882" i="36" s="1"/>
  <c r="H112" i="35"/>
  <c r="E926" i="36" s="1"/>
  <c r="N926" i="36" s="1"/>
  <c r="E90" i="36"/>
  <c r="N90" i="36" s="1"/>
  <c r="I420" i="35"/>
  <c r="F222" i="36" s="1"/>
  <c r="O222" i="36" s="1"/>
  <c r="I409" i="35"/>
  <c r="F1047" i="36" s="1"/>
  <c r="O1047" i="36" s="1"/>
  <c r="H532" i="35"/>
  <c r="E884" i="36" s="1"/>
  <c r="N884" i="36" s="1"/>
  <c r="H347" i="35"/>
  <c r="E435" i="36" s="1"/>
  <c r="N435" i="36" s="1"/>
  <c r="H192" i="35"/>
  <c r="H190" i="35"/>
  <c r="I189" i="35"/>
  <c r="H247" i="35"/>
  <c r="E137" i="36" s="1"/>
  <c r="N137" i="36" s="1"/>
  <c r="I244" i="35"/>
  <c r="F134" i="36" s="1"/>
  <c r="O134" i="36" s="1"/>
  <c r="I398" i="35"/>
  <c r="F607" i="36" s="1"/>
  <c r="O607" i="36" s="1"/>
  <c r="H401" i="35"/>
  <c r="E610" i="36" s="1"/>
  <c r="N610" i="36" s="1"/>
  <c r="H399" i="35"/>
  <c r="E608" i="36" s="1"/>
  <c r="N608" i="36" s="1"/>
  <c r="H424" i="35"/>
  <c r="E446" i="36" s="1"/>
  <c r="N446" i="36" s="1"/>
  <c r="C39" i="37" s="1"/>
  <c r="H145" i="35"/>
  <c r="E266" i="36" s="1"/>
  <c r="N266" i="36" s="1"/>
  <c r="H147" i="35"/>
  <c r="E268" i="36" s="1"/>
  <c r="N268" i="36" s="1"/>
  <c r="H104" i="35"/>
  <c r="E852" i="36" s="1"/>
  <c r="N852" i="36" s="1"/>
  <c r="H27" i="35"/>
  <c r="E511" i="36" s="1"/>
  <c r="N511" i="36" s="1"/>
  <c r="H82" i="35"/>
  <c r="H533" i="35"/>
  <c r="E885" i="36" s="1"/>
  <c r="N885" i="36" s="1"/>
  <c r="H412" i="35"/>
  <c r="E93" i="36" s="1"/>
  <c r="N93" i="36" s="1"/>
  <c r="O64" i="21"/>
  <c r="H588" i="35" s="1"/>
  <c r="E27" i="36" s="1"/>
  <c r="N27" i="36" s="1"/>
  <c r="T64" i="21"/>
  <c r="H599" i="35" s="1"/>
  <c r="E38" i="36" s="1"/>
  <c r="N38" i="36" s="1"/>
  <c r="H115" i="35"/>
  <c r="E962" i="36" s="1"/>
  <c r="N962" i="36" s="1"/>
  <c r="H390" i="35"/>
  <c r="E126" i="36" s="1"/>
  <c r="N126" i="36" s="1"/>
  <c r="H511" i="35"/>
  <c r="E423" i="36" s="1"/>
  <c r="N423" i="36" s="1"/>
  <c r="H181" i="35"/>
  <c r="E786" i="36" s="1"/>
  <c r="N786" i="36" s="1"/>
  <c r="H379" i="35"/>
  <c r="E258" i="36" s="1"/>
  <c r="N258" i="36" s="1"/>
  <c r="T65" i="21"/>
  <c r="H600" i="35" s="1"/>
  <c r="E39" i="36" s="1"/>
  <c r="N39" i="36" s="1"/>
  <c r="H182" i="35"/>
  <c r="E776" i="36" s="1"/>
  <c r="N776" i="36" s="1"/>
  <c r="H259" i="35"/>
  <c r="E193" i="36" s="1"/>
  <c r="N193" i="36" s="1"/>
  <c r="H380" i="35"/>
  <c r="E259" i="36" s="1"/>
  <c r="N259" i="36" s="1"/>
  <c r="H398" i="35"/>
  <c r="E607" i="36" s="1"/>
  <c r="N607" i="36" s="1"/>
  <c r="H137" i="35"/>
  <c r="E60" i="36" s="1"/>
  <c r="N60" i="36" s="1"/>
  <c r="I65" i="21"/>
  <c r="S65" i="21"/>
  <c r="F600" i="35" s="1"/>
  <c r="C66" i="21"/>
  <c r="H635" i="35" s="1"/>
  <c r="E1139" i="36" s="1"/>
  <c r="N1139" i="36" s="1"/>
  <c r="F67" i="21"/>
  <c r="B66" i="21"/>
  <c r="F29" i="35" s="1"/>
  <c r="E1058" i="36"/>
  <c r="N1058" i="36" s="1"/>
  <c r="P999" i="36"/>
  <c r="AB46" i="22"/>
  <c r="H135" i="35"/>
  <c r="E58" i="36" s="1"/>
  <c r="N58" i="36" s="1"/>
  <c r="H245" i="35"/>
  <c r="E135" i="36" s="1"/>
  <c r="N135" i="36" s="1"/>
  <c r="H189" i="35"/>
  <c r="H193" i="35"/>
  <c r="H136" i="35"/>
  <c r="E59" i="36" s="1"/>
  <c r="N59" i="36" s="1"/>
  <c r="AB39" i="22"/>
  <c r="H134" i="35"/>
  <c r="E57" i="36" s="1"/>
  <c r="N57" i="36" s="1"/>
  <c r="H246" i="35"/>
  <c r="E136" i="36" s="1"/>
  <c r="N136" i="36" s="1"/>
  <c r="H191" i="35"/>
  <c r="H244" i="35"/>
  <c r="E134" i="36" s="1"/>
  <c r="N134" i="36" s="1"/>
  <c r="I134" i="35"/>
  <c r="F57" i="36" s="1"/>
  <c r="O57" i="36" s="1"/>
  <c r="P994" i="36"/>
  <c r="P983" i="36"/>
  <c r="Z5" i="21"/>
  <c r="Y5" i="21"/>
  <c r="AA5" i="21"/>
  <c r="P984" i="36"/>
  <c r="P995" i="36"/>
  <c r="P637" i="36"/>
  <c r="P901" i="36"/>
  <c r="V5" i="21"/>
  <c r="AH5" i="21" s="1"/>
  <c r="W5" i="21"/>
  <c r="AI5" i="21" s="1"/>
  <c r="X5" i="21"/>
  <c r="AJ5" i="21" s="1"/>
  <c r="AB43" i="22"/>
  <c r="H58" i="42"/>
  <c r="B42" i="42"/>
  <c r="B45" i="42" s="1"/>
  <c r="E45" i="42" s="1"/>
  <c r="B43" i="42"/>
  <c r="B46" i="42" s="1"/>
  <c r="E46" i="42" s="1"/>
  <c r="F37" i="42"/>
  <c r="H37" i="42" s="1"/>
  <c r="L58" i="42"/>
  <c r="E1112" i="36"/>
  <c r="N1112" i="36" s="1"/>
  <c r="E1123" i="36"/>
  <c r="N1123" i="36" s="1"/>
  <c r="U61" i="21"/>
  <c r="G596" i="35" s="1"/>
  <c r="D62" i="21"/>
  <c r="G201" i="35" s="1"/>
  <c r="P61" i="21"/>
  <c r="G585" i="35" s="1"/>
  <c r="K61" i="21"/>
  <c r="E62" i="21"/>
  <c r="L61" i="21"/>
  <c r="I552" i="35" s="1"/>
  <c r="V61" i="21"/>
  <c r="I596" i="35" s="1"/>
  <c r="F35" i="36" s="1"/>
  <c r="O35" i="36" s="1"/>
  <c r="Q61" i="21"/>
  <c r="I585" i="35" s="1"/>
  <c r="F24" i="36" s="1"/>
  <c r="O24" i="36" s="1"/>
  <c r="E960" i="36"/>
  <c r="N960" i="36" s="1"/>
  <c r="H38" i="35"/>
  <c r="E82" i="36" s="1"/>
  <c r="N82" i="36" s="1"/>
  <c r="C16" i="37" s="1"/>
  <c r="H324" i="35"/>
  <c r="E731" i="36" s="1"/>
  <c r="N731" i="36" s="1"/>
  <c r="I35" i="35"/>
  <c r="F79" i="36" s="1"/>
  <c r="O79" i="36" s="1"/>
  <c r="D13" i="37" s="1"/>
  <c r="I607" i="35"/>
  <c r="F761" i="36" s="1"/>
  <c r="O761" i="36" s="1"/>
  <c r="E123" i="36"/>
  <c r="N123" i="36" s="1"/>
  <c r="E398" i="36"/>
  <c r="N398" i="36" s="1"/>
  <c r="H610" i="35"/>
  <c r="E764" i="36" s="1"/>
  <c r="N764" i="36" s="1"/>
  <c r="H522" i="35"/>
  <c r="E379" i="36" s="1"/>
  <c r="N379" i="36" s="1"/>
  <c r="H60" i="35"/>
  <c r="E247" i="36" s="1"/>
  <c r="N247" i="36" s="1"/>
  <c r="I57" i="35"/>
  <c r="F244" i="36" s="1"/>
  <c r="O244" i="36" s="1"/>
  <c r="H607" i="35"/>
  <c r="E761" i="36" s="1"/>
  <c r="N761" i="36" s="1"/>
  <c r="I36" i="35"/>
  <c r="F69" i="36" s="1"/>
  <c r="O69" i="36" s="1"/>
  <c r="H58" i="35"/>
  <c r="E245" i="36" s="1"/>
  <c r="N245" i="36" s="1"/>
  <c r="H36" i="35"/>
  <c r="E69" i="36" s="1"/>
  <c r="N69" i="36" s="1"/>
  <c r="F860" i="36"/>
  <c r="O860" i="36" s="1"/>
  <c r="F849" i="36"/>
  <c r="O849" i="36" s="1"/>
  <c r="F948" i="36"/>
  <c r="O948" i="36" s="1"/>
  <c r="H323" i="35"/>
  <c r="E730" i="36" s="1"/>
  <c r="N730" i="36" s="1"/>
  <c r="H37" i="35"/>
  <c r="E81" i="36" s="1"/>
  <c r="N81" i="36" s="1"/>
  <c r="C15" i="37" s="1"/>
  <c r="H322" i="35"/>
  <c r="E740" i="36" s="1"/>
  <c r="N740" i="36" s="1"/>
  <c r="I321" i="35"/>
  <c r="F728" i="36" s="1"/>
  <c r="O728" i="36" s="1"/>
  <c r="H609" i="35"/>
  <c r="E763" i="36" s="1"/>
  <c r="N763" i="36" s="1"/>
  <c r="H35" i="35"/>
  <c r="E68" i="36" s="1"/>
  <c r="N68" i="36" s="1"/>
  <c r="H204" i="35"/>
  <c r="E985" i="36" s="1"/>
  <c r="N985" i="36" s="1"/>
  <c r="H202" i="35"/>
  <c r="E983" i="36" s="1"/>
  <c r="N983" i="36" s="1"/>
  <c r="H201" i="35"/>
  <c r="H203" i="35"/>
  <c r="E984" i="36" s="1"/>
  <c r="N984" i="36" s="1"/>
  <c r="H521" i="35"/>
  <c r="E389" i="36" s="1"/>
  <c r="N389" i="36" s="1"/>
  <c r="H59" i="35"/>
  <c r="E246" i="36" s="1"/>
  <c r="N246" i="36" s="1"/>
  <c r="H57" i="35"/>
  <c r="E244" i="36" s="1"/>
  <c r="N244" i="36" s="1"/>
  <c r="H366" i="35"/>
  <c r="E707" i="36" s="1"/>
  <c r="N707" i="36" s="1"/>
  <c r="H367" i="35"/>
  <c r="H368" i="35"/>
  <c r="I366" i="35"/>
  <c r="F707" i="36" s="1"/>
  <c r="O707" i="36" s="1"/>
  <c r="I365" i="35"/>
  <c r="H365" i="35"/>
  <c r="E706" i="36" s="1"/>
  <c r="N706" i="36" s="1"/>
  <c r="H5" i="35"/>
  <c r="I2" i="35"/>
  <c r="H4" i="35"/>
  <c r="H124" i="35"/>
  <c r="E938" i="36" s="1"/>
  <c r="N938" i="36" s="1"/>
  <c r="H125" i="35"/>
  <c r="E939" i="36" s="1"/>
  <c r="N939" i="36" s="1"/>
  <c r="M41" i="22"/>
  <c r="AA41" i="22" s="1"/>
  <c r="I200" i="35"/>
  <c r="P285" i="36"/>
  <c r="P560" i="36"/>
  <c r="P981" i="36"/>
  <c r="P992" i="36"/>
  <c r="P900" i="36"/>
  <c r="P636" i="36"/>
  <c r="P638" i="36"/>
  <c r="P902" i="36"/>
  <c r="P384" i="36"/>
  <c r="P395" i="36"/>
  <c r="H321" i="35"/>
  <c r="H608" i="35"/>
  <c r="E762" i="36" s="1"/>
  <c r="N762" i="36" s="1"/>
  <c r="P556" i="36"/>
  <c r="P281" i="36"/>
  <c r="P554" i="36"/>
  <c r="P279" i="36"/>
  <c r="P1001" i="36"/>
  <c r="P990" i="36"/>
  <c r="P894" i="36"/>
  <c r="P630" i="36"/>
  <c r="P378" i="36"/>
  <c r="P389" i="36"/>
  <c r="P397" i="36"/>
  <c r="P386" i="36"/>
  <c r="P382" i="36"/>
  <c r="P393" i="36"/>
  <c r="P634" i="36"/>
  <c r="P898" i="36"/>
  <c r="H520" i="35"/>
  <c r="I519" i="35"/>
  <c r="H519" i="35"/>
  <c r="P286" i="36"/>
  <c r="P561" i="36"/>
  <c r="P278" i="36"/>
  <c r="P553" i="36"/>
  <c r="P982" i="36"/>
  <c r="P993" i="36"/>
  <c r="P903" i="36"/>
  <c r="P639" i="36"/>
  <c r="P396" i="36"/>
  <c r="P385" i="36"/>
  <c r="P383" i="36"/>
  <c r="P394" i="36"/>
  <c r="P388" i="36"/>
  <c r="P377" i="36"/>
  <c r="I354" i="35"/>
  <c r="F101" i="36" s="1"/>
  <c r="O101" i="36" s="1"/>
  <c r="H354" i="35"/>
  <c r="E101" i="36" s="1"/>
  <c r="N101" i="36" s="1"/>
  <c r="H357" i="35"/>
  <c r="E104" i="36" s="1"/>
  <c r="N104" i="36" s="1"/>
  <c r="H356" i="35"/>
  <c r="E103" i="36" s="1"/>
  <c r="N103" i="36" s="1"/>
  <c r="H358" i="35"/>
  <c r="E105" i="36" s="1"/>
  <c r="N105" i="36" s="1"/>
  <c r="I90" i="35"/>
  <c r="F750" i="36" s="1"/>
  <c r="O750" i="36" s="1"/>
  <c r="I124" i="35"/>
  <c r="F938" i="36" s="1"/>
  <c r="O938" i="36" s="1"/>
  <c r="I123" i="35"/>
  <c r="F937" i="36" s="1"/>
  <c r="O937" i="36" s="1"/>
  <c r="H126" i="35"/>
  <c r="E940" i="36" s="1"/>
  <c r="N940" i="36" s="1"/>
  <c r="P555" i="36"/>
  <c r="P280" i="36"/>
  <c r="P987" i="36"/>
  <c r="P998" i="36"/>
  <c r="P895" i="36"/>
  <c r="P631" i="36"/>
  <c r="P629" i="36"/>
  <c r="P893" i="36"/>
  <c r="P390" i="36"/>
  <c r="P379" i="36"/>
  <c r="P387" i="36"/>
  <c r="P376" i="36"/>
  <c r="E565" i="36"/>
  <c r="N565" i="36" s="1"/>
  <c r="H475" i="35" l="1"/>
  <c r="E288" i="36" s="1"/>
  <c r="N288" i="36" s="1"/>
  <c r="I475" i="35"/>
  <c r="F970" i="36" s="1"/>
  <c r="O970" i="36" s="1"/>
  <c r="H478" i="35"/>
  <c r="E313" i="36" s="1"/>
  <c r="N313" i="36" s="1"/>
  <c r="I299" i="35"/>
  <c r="F1003" i="36" s="1"/>
  <c r="O1003" i="36" s="1"/>
  <c r="F344" i="35"/>
  <c r="F343" i="35"/>
  <c r="H15" i="35"/>
  <c r="E521" i="36" s="1"/>
  <c r="N521" i="36" s="1"/>
  <c r="H302" i="35"/>
  <c r="E1006" i="36" s="1"/>
  <c r="N1006" i="36" s="1"/>
  <c r="F347" i="35"/>
  <c r="F213" i="35"/>
  <c r="I211" i="35"/>
  <c r="F1036" i="36" s="1"/>
  <c r="O1036" i="36" s="1"/>
  <c r="H212" i="35"/>
  <c r="E1037" i="36" s="1"/>
  <c r="N1037" i="36" s="1"/>
  <c r="H167" i="35"/>
  <c r="E464" i="36" s="1"/>
  <c r="N464" i="36" s="1"/>
  <c r="H157" i="35"/>
  <c r="E113" i="36" s="1"/>
  <c r="N113" i="36" s="1"/>
  <c r="I167" i="35"/>
  <c r="F453" i="36" s="1"/>
  <c r="O453" i="36" s="1"/>
  <c r="F620" i="35"/>
  <c r="E466" i="36"/>
  <c r="N466" i="36" s="1"/>
  <c r="F259" i="35"/>
  <c r="G255" i="35"/>
  <c r="F255" i="35"/>
  <c r="F256" i="35"/>
  <c r="F257" i="35"/>
  <c r="H168" i="35"/>
  <c r="E454" i="36" s="1"/>
  <c r="N454" i="36" s="1"/>
  <c r="H477" i="35"/>
  <c r="E312" i="36" s="1"/>
  <c r="N312" i="36" s="1"/>
  <c r="F190" i="35"/>
  <c r="F380" i="35"/>
  <c r="F377" i="35"/>
  <c r="G13" i="35"/>
  <c r="F204" i="35"/>
  <c r="G200" i="35"/>
  <c r="G101" i="35"/>
  <c r="F233" i="35"/>
  <c r="F234" i="35"/>
  <c r="G57" i="35"/>
  <c r="F443" i="35"/>
  <c r="I663" i="35"/>
  <c r="F1199" i="36" s="1"/>
  <c r="O1199" i="36" s="1"/>
  <c r="H3" i="35"/>
  <c r="E1233" i="36" s="1"/>
  <c r="N1233" i="36" s="1"/>
  <c r="H456" i="35"/>
  <c r="E324" i="36" s="1"/>
  <c r="N324" i="36" s="1"/>
  <c r="H377" i="35"/>
  <c r="E256" i="36" s="1"/>
  <c r="N256" i="36" s="1"/>
  <c r="H476" i="35"/>
  <c r="E289" i="36" s="1"/>
  <c r="N289" i="36" s="1"/>
  <c r="F378" i="35"/>
  <c r="F486" i="35"/>
  <c r="F200" i="35"/>
  <c r="F268" i="35"/>
  <c r="H664" i="35"/>
  <c r="E1200" i="36" s="1"/>
  <c r="N1200" i="36" s="1"/>
  <c r="E310" i="36"/>
  <c r="N310" i="36" s="1"/>
  <c r="E970" i="36"/>
  <c r="N970" i="36" s="1"/>
  <c r="E576" i="36"/>
  <c r="N576" i="36" s="1"/>
  <c r="D104" i="42"/>
  <c r="B113" i="42"/>
  <c r="F116" i="42" s="1"/>
  <c r="H116" i="42" s="1"/>
  <c r="H119" i="42" s="1"/>
  <c r="D36" i="42"/>
  <c r="B38" i="42"/>
  <c r="C48" i="42" s="1"/>
  <c r="D35" i="42"/>
  <c r="H433" i="35"/>
  <c r="E356" i="36" s="1"/>
  <c r="N356" i="36" s="1"/>
  <c r="H432" i="35"/>
  <c r="E355" i="36" s="1"/>
  <c r="N355" i="36" s="1"/>
  <c r="H431" i="35"/>
  <c r="E354" i="36" s="1"/>
  <c r="N354" i="36" s="1"/>
  <c r="I431" i="35"/>
  <c r="F354" i="36" s="1"/>
  <c r="O354" i="36" s="1"/>
  <c r="H14" i="35"/>
  <c r="E520" i="36" s="1"/>
  <c r="N520" i="36" s="1"/>
  <c r="E1027" i="36"/>
  <c r="N1027" i="36" s="1"/>
  <c r="I13" i="35"/>
  <c r="F519" i="36" s="1"/>
  <c r="O519" i="36" s="1"/>
  <c r="H13" i="35"/>
  <c r="E519" i="36" s="1"/>
  <c r="N519" i="36" s="1"/>
  <c r="I156" i="35"/>
  <c r="F794" i="36" s="1"/>
  <c r="O794" i="36" s="1"/>
  <c r="H160" i="35"/>
  <c r="E798" i="36" s="1"/>
  <c r="N798" i="36" s="1"/>
  <c r="H566" i="35"/>
  <c r="E1028" i="36" s="1"/>
  <c r="N1028" i="36" s="1"/>
  <c r="I453" i="35"/>
  <c r="O332" i="36" s="1"/>
  <c r="D24" i="37" s="1"/>
  <c r="F488" i="35"/>
  <c r="G619" i="35"/>
  <c r="F643" i="35"/>
  <c r="F641" i="35"/>
  <c r="F270" i="35"/>
  <c r="F444" i="35"/>
  <c r="H16" i="35"/>
  <c r="E522" i="36" s="1"/>
  <c r="N522" i="36" s="1"/>
  <c r="H215" i="35"/>
  <c r="E1040" i="36" s="1"/>
  <c r="N1040" i="36" s="1"/>
  <c r="H158" i="35"/>
  <c r="E114" i="36" s="1"/>
  <c r="N114" i="36" s="1"/>
  <c r="H156" i="35"/>
  <c r="E794" i="36" s="1"/>
  <c r="N794" i="36" s="1"/>
  <c r="H467" i="35"/>
  <c r="E632" i="36" s="1"/>
  <c r="N632" i="36" s="1"/>
  <c r="H453" i="35"/>
  <c r="E321" i="36" s="1"/>
  <c r="N321" i="36" s="1"/>
  <c r="H564" i="35"/>
  <c r="E1026" i="36" s="1"/>
  <c r="N1026" i="36" s="1"/>
  <c r="H454" i="35"/>
  <c r="E322" i="36" s="1"/>
  <c r="N322" i="36" s="1"/>
  <c r="H563" i="35"/>
  <c r="E1014" i="36" s="1"/>
  <c r="N1014" i="36" s="1"/>
  <c r="G486" i="35"/>
  <c r="F534" i="35"/>
  <c r="F619" i="35"/>
  <c r="G641" i="35"/>
  <c r="F266" i="35"/>
  <c r="G442" i="35"/>
  <c r="H213" i="35"/>
  <c r="E1038" i="36" s="1"/>
  <c r="N1038" i="36" s="1"/>
  <c r="H466" i="35"/>
  <c r="E631" i="36" s="1"/>
  <c r="N631" i="36" s="1"/>
  <c r="H465" i="35"/>
  <c r="E905" i="36" s="1"/>
  <c r="N905" i="36" s="1"/>
  <c r="I563" i="35"/>
  <c r="F1025" i="36" s="1"/>
  <c r="O1025" i="36" s="1"/>
  <c r="F623" i="35"/>
  <c r="G266" i="35"/>
  <c r="F226" i="35"/>
  <c r="H653" i="35"/>
  <c r="E1178" i="36" s="1"/>
  <c r="N1178" i="36" s="1"/>
  <c r="AL6" i="21"/>
  <c r="I652" i="35"/>
  <c r="F1177" i="36" s="1"/>
  <c r="O1177" i="36" s="1"/>
  <c r="H652" i="35"/>
  <c r="E1188" i="36" s="1"/>
  <c r="N1188" i="36" s="1"/>
  <c r="C106" i="37" s="1"/>
  <c r="F453" i="35"/>
  <c r="F455" i="35"/>
  <c r="G453" i="35"/>
  <c r="F457" i="35"/>
  <c r="F454" i="35"/>
  <c r="F223" i="35"/>
  <c r="G222" i="35"/>
  <c r="F224" i="35"/>
  <c r="F433" i="35"/>
  <c r="G431" i="35"/>
  <c r="F435" i="35"/>
  <c r="F432" i="35"/>
  <c r="F431" i="35"/>
  <c r="F116" i="35"/>
  <c r="G112" i="35"/>
  <c r="F114" i="35"/>
  <c r="I201" i="35"/>
  <c r="F993" i="36" s="1"/>
  <c r="O993" i="36" s="1"/>
  <c r="H80" i="21"/>
  <c r="I653" i="35"/>
  <c r="I664" i="35"/>
  <c r="F1200" i="36" s="1"/>
  <c r="O1200" i="36" s="1"/>
  <c r="H39" i="35"/>
  <c r="E72" i="36" s="1"/>
  <c r="N72" i="36" s="1"/>
  <c r="G83" i="21"/>
  <c r="H667" i="35"/>
  <c r="E1203" i="36" s="1"/>
  <c r="N1203" i="36" s="1"/>
  <c r="H656" i="35"/>
  <c r="H634" i="35"/>
  <c r="E1138" i="36" s="1"/>
  <c r="N1138" i="36" s="1"/>
  <c r="H645" i="35"/>
  <c r="E1170" i="36" s="1"/>
  <c r="N1170" i="36" s="1"/>
  <c r="F403" i="35"/>
  <c r="F337" i="35"/>
  <c r="G168" i="35"/>
  <c r="F172" i="35"/>
  <c r="F381" i="35"/>
  <c r="G487" i="35"/>
  <c r="F622" i="35"/>
  <c r="F249" i="35"/>
  <c r="F247" i="35"/>
  <c r="F159" i="35"/>
  <c r="G157" i="35"/>
  <c r="F260" i="35"/>
  <c r="F348" i="35"/>
  <c r="F203" i="35"/>
  <c r="F183" i="35"/>
  <c r="F7" i="35"/>
  <c r="F6" i="35"/>
  <c r="F3" i="35"/>
  <c r="F4" i="35"/>
  <c r="G2" i="35"/>
  <c r="F5" i="35"/>
  <c r="G3" i="35"/>
  <c r="F2" i="35"/>
  <c r="H249" i="35"/>
  <c r="E139" i="36" s="1"/>
  <c r="N139" i="36" s="1"/>
  <c r="G84" i="21"/>
  <c r="H657" i="35"/>
  <c r="H668" i="35"/>
  <c r="E1204" i="36" s="1"/>
  <c r="N1204" i="36" s="1"/>
  <c r="F401" i="35"/>
  <c r="G399" i="35"/>
  <c r="G333" i="35"/>
  <c r="F335" i="35"/>
  <c r="F170" i="35"/>
  <c r="F379" i="35"/>
  <c r="F491" i="35"/>
  <c r="G620" i="35"/>
  <c r="G245" i="35"/>
  <c r="F16" i="35"/>
  <c r="F18" i="35"/>
  <c r="G256" i="35"/>
  <c r="F258" i="35"/>
  <c r="G344" i="35"/>
  <c r="F346" i="35"/>
  <c r="F181" i="35"/>
  <c r="F326" i="35"/>
  <c r="F60" i="35"/>
  <c r="F269" i="35"/>
  <c r="F236" i="35"/>
  <c r="F104" i="35"/>
  <c r="F137" i="35"/>
  <c r="F445" i="35"/>
  <c r="F280" i="35"/>
  <c r="F633" i="35"/>
  <c r="F324" i="35"/>
  <c r="F666" i="35"/>
  <c r="F566" i="35"/>
  <c r="F225" i="35"/>
  <c r="F115" i="35"/>
  <c r="F82" i="35"/>
  <c r="F412" i="35"/>
  <c r="F214" i="35"/>
  <c r="F610" i="35"/>
  <c r="F71" i="35"/>
  <c r="H646" i="35"/>
  <c r="E1171" i="36" s="1"/>
  <c r="N1171" i="36" s="1"/>
  <c r="F458" i="35"/>
  <c r="F489" i="35"/>
  <c r="F624" i="35"/>
  <c r="F436" i="35"/>
  <c r="G14" i="35"/>
  <c r="F644" i="35"/>
  <c r="G267" i="35"/>
  <c r="G234" i="35"/>
  <c r="G135" i="35"/>
  <c r="G631" i="35"/>
  <c r="G388" i="35"/>
  <c r="G179" i="35"/>
  <c r="G564" i="35"/>
  <c r="G113" i="35"/>
  <c r="G58" i="35"/>
  <c r="G80" i="35"/>
  <c r="G278" i="35"/>
  <c r="G322" i="35"/>
  <c r="G664" i="35"/>
  <c r="G223" i="35"/>
  <c r="G410" i="35"/>
  <c r="G443" i="35"/>
  <c r="G608" i="35"/>
  <c r="G102" i="35"/>
  <c r="G69" i="35"/>
  <c r="F668" i="35"/>
  <c r="F117" i="35"/>
  <c r="F216" i="35"/>
  <c r="F612" i="35"/>
  <c r="F106" i="35"/>
  <c r="F73" i="35"/>
  <c r="F635" i="35"/>
  <c r="F62" i="35"/>
  <c r="F271" i="35"/>
  <c r="F238" i="35"/>
  <c r="F139" i="35"/>
  <c r="F447" i="35"/>
  <c r="F282" i="35"/>
  <c r="F568" i="35"/>
  <c r="F227" i="35"/>
  <c r="F84" i="35"/>
  <c r="F414" i="35"/>
  <c r="F392" i="35"/>
  <c r="G82" i="21"/>
  <c r="H655" i="35"/>
  <c r="H666" i="35"/>
  <c r="E1202" i="36" s="1"/>
  <c r="N1202" i="36" s="1"/>
  <c r="I631" i="35"/>
  <c r="F1135" i="36" s="1"/>
  <c r="O1135" i="36" s="1"/>
  <c r="H633" i="35"/>
  <c r="E1137" i="36" s="1"/>
  <c r="N1137" i="36" s="1"/>
  <c r="I642" i="35"/>
  <c r="F1167" i="36" s="1"/>
  <c r="O1167" i="36" s="1"/>
  <c r="G454" i="35"/>
  <c r="F456" i="35"/>
  <c r="G377" i="35"/>
  <c r="G432" i="35"/>
  <c r="F434" i="35"/>
  <c r="F161" i="35"/>
  <c r="G642" i="35"/>
  <c r="F646" i="35"/>
  <c r="G25" i="35"/>
  <c r="F27" i="35"/>
  <c r="F205" i="35"/>
  <c r="G212" i="35"/>
  <c r="F192" i="35"/>
  <c r="E543" i="36"/>
  <c r="E840" i="36"/>
  <c r="E488" i="36"/>
  <c r="N488" i="36" s="1"/>
  <c r="E334" i="36"/>
  <c r="E301" i="36"/>
  <c r="E180" i="36"/>
  <c r="E158" i="36"/>
  <c r="E1179" i="36"/>
  <c r="N1179" i="36" s="1"/>
  <c r="E1190" i="36"/>
  <c r="N1190" i="36" s="1"/>
  <c r="C108" i="37" s="1"/>
  <c r="E541" i="36"/>
  <c r="N541" i="36" s="1"/>
  <c r="E838" i="36"/>
  <c r="E486" i="36"/>
  <c r="E156" i="36"/>
  <c r="E332" i="36"/>
  <c r="N332" i="36" s="1"/>
  <c r="C24" i="37" s="1"/>
  <c r="E299" i="36"/>
  <c r="E178" i="36"/>
  <c r="E839" i="36"/>
  <c r="E487" i="36"/>
  <c r="E333" i="36"/>
  <c r="N333" i="36" s="1"/>
  <c r="C25" i="37" s="1"/>
  <c r="E542" i="36"/>
  <c r="E179" i="36"/>
  <c r="E300" i="36"/>
  <c r="E157" i="36"/>
  <c r="F656" i="35"/>
  <c r="G653" i="35"/>
  <c r="F652" i="35"/>
  <c r="F654" i="35"/>
  <c r="F657" i="35"/>
  <c r="F655" i="35"/>
  <c r="G652" i="35"/>
  <c r="F653" i="35"/>
  <c r="E1189" i="36"/>
  <c r="N1189" i="36" s="1"/>
  <c r="C107" i="37" s="1"/>
  <c r="F640" i="36"/>
  <c r="O640" i="36" s="1"/>
  <c r="F904" i="36"/>
  <c r="O904" i="36" s="1"/>
  <c r="E365" i="36"/>
  <c r="N365" i="36" s="1"/>
  <c r="E1232" i="36"/>
  <c r="N1232" i="36" s="1"/>
  <c r="E367" i="36"/>
  <c r="N367" i="36" s="1"/>
  <c r="E1234" i="36"/>
  <c r="N1234" i="36" s="1"/>
  <c r="E368" i="36"/>
  <c r="N368" i="36" s="1"/>
  <c r="E1235" i="36"/>
  <c r="N1235" i="36" s="1"/>
  <c r="F365" i="36"/>
  <c r="O365" i="36" s="1"/>
  <c r="F1232" i="36"/>
  <c r="O1232" i="36" s="1"/>
  <c r="F629" i="36"/>
  <c r="O629" i="36" s="1"/>
  <c r="H312" i="35"/>
  <c r="E807" i="36" s="1"/>
  <c r="N807" i="36" s="1"/>
  <c r="I310" i="35"/>
  <c r="F618" i="36" s="1"/>
  <c r="O618" i="36" s="1"/>
  <c r="H314" i="35"/>
  <c r="E622" i="36" s="1"/>
  <c r="N622" i="36" s="1"/>
  <c r="H313" i="35"/>
  <c r="E808" i="36" s="1"/>
  <c r="N808" i="36" s="1"/>
  <c r="E618" i="36"/>
  <c r="N618" i="36" s="1"/>
  <c r="H311" i="35"/>
  <c r="E806" i="36" s="1"/>
  <c r="N806" i="36" s="1"/>
  <c r="H464" i="35"/>
  <c r="E893" i="36" s="1"/>
  <c r="N893" i="36" s="1"/>
  <c r="F146" i="35"/>
  <c r="F149" i="35"/>
  <c r="F148" i="35"/>
  <c r="F145" i="35"/>
  <c r="G145" i="35"/>
  <c r="F150" i="35"/>
  <c r="F147" i="35"/>
  <c r="G146" i="35"/>
  <c r="I91" i="35"/>
  <c r="F751" i="36" s="1"/>
  <c r="O751" i="36" s="1"/>
  <c r="H93" i="35"/>
  <c r="E753" i="36" s="1"/>
  <c r="N753" i="36" s="1"/>
  <c r="F193" i="35"/>
  <c r="F194" i="35"/>
  <c r="F531" i="35"/>
  <c r="G530" i="35"/>
  <c r="F532" i="35"/>
  <c r="G531" i="35"/>
  <c r="F211" i="35"/>
  <c r="F212" i="35"/>
  <c r="H91" i="35"/>
  <c r="E751" i="36" s="1"/>
  <c r="N751" i="36" s="1"/>
  <c r="G189" i="35"/>
  <c r="G190" i="35"/>
  <c r="F535" i="35"/>
  <c r="F533" i="35"/>
  <c r="F477" i="35"/>
  <c r="G211" i="35"/>
  <c r="F508" i="35"/>
  <c r="F510" i="35"/>
  <c r="F512" i="35"/>
  <c r="F513" i="35"/>
  <c r="F509" i="35"/>
  <c r="G509" i="35"/>
  <c r="G508" i="35"/>
  <c r="F511" i="35"/>
  <c r="F290" i="35"/>
  <c r="F289" i="35"/>
  <c r="F292" i="35"/>
  <c r="G288" i="35"/>
  <c r="F291" i="35"/>
  <c r="G289" i="35"/>
  <c r="F293" i="35"/>
  <c r="F288" i="35"/>
  <c r="F479" i="35"/>
  <c r="F476" i="35"/>
  <c r="H92" i="35"/>
  <c r="E752" i="36" s="1"/>
  <c r="N752" i="36" s="1"/>
  <c r="F475" i="35"/>
  <c r="F480" i="35"/>
  <c r="G475" i="35"/>
  <c r="G476" i="35"/>
  <c r="F478" i="35"/>
  <c r="AK5" i="21"/>
  <c r="AM5" i="21"/>
  <c r="AL5" i="21"/>
  <c r="D79" i="21"/>
  <c r="E772" i="36"/>
  <c r="N772" i="36" s="1"/>
  <c r="H334" i="35"/>
  <c r="I46" i="35"/>
  <c r="F1210" i="36" s="1"/>
  <c r="O1210" i="36" s="1"/>
  <c r="I47" i="35"/>
  <c r="F1211" i="36" s="1"/>
  <c r="O1211" i="36" s="1"/>
  <c r="H48" i="35"/>
  <c r="E1212" i="36" s="1"/>
  <c r="N1212" i="36" s="1"/>
  <c r="F556" i="35"/>
  <c r="F545" i="35"/>
  <c r="G552" i="35"/>
  <c r="G541" i="35"/>
  <c r="E1161" i="36"/>
  <c r="E1096" i="36"/>
  <c r="E1101" i="36"/>
  <c r="F315" i="35"/>
  <c r="F310" i="35"/>
  <c r="F312" i="35"/>
  <c r="F311" i="35"/>
  <c r="F314" i="35"/>
  <c r="G310" i="35"/>
  <c r="F313" i="35"/>
  <c r="G311" i="35"/>
  <c r="H106" i="42"/>
  <c r="J116" i="42"/>
  <c r="J117" i="42" s="1"/>
  <c r="H333" i="35"/>
  <c r="G519" i="35"/>
  <c r="F520" i="35"/>
  <c r="F522" i="35"/>
  <c r="F524" i="35"/>
  <c r="F521" i="35"/>
  <c r="G520" i="35"/>
  <c r="F523" i="35"/>
  <c r="F519" i="35"/>
  <c r="H46" i="35"/>
  <c r="E1145" i="36" s="1"/>
  <c r="N1145" i="36" s="1"/>
  <c r="H50" i="35"/>
  <c r="E1214" i="36" s="1"/>
  <c r="N1214" i="36" s="1"/>
  <c r="H49" i="35"/>
  <c r="E1213" i="36" s="1"/>
  <c r="N1213" i="36" s="1"/>
  <c r="E431" i="36"/>
  <c r="N431" i="36" s="1"/>
  <c r="G465" i="35"/>
  <c r="F464" i="35"/>
  <c r="F466" i="35"/>
  <c r="F468" i="35"/>
  <c r="G464" i="35"/>
  <c r="F465" i="35"/>
  <c r="F467" i="35"/>
  <c r="F469" i="35"/>
  <c r="H578" i="35"/>
  <c r="E875" i="36" s="1"/>
  <c r="N875" i="36" s="1"/>
  <c r="F91" i="35"/>
  <c r="F93" i="35"/>
  <c r="F95" i="35"/>
  <c r="G91" i="35"/>
  <c r="G90" i="35"/>
  <c r="F90" i="35"/>
  <c r="F92" i="35"/>
  <c r="F94" i="35"/>
  <c r="F574" i="35"/>
  <c r="F576" i="35"/>
  <c r="F578" i="35"/>
  <c r="G574" i="35"/>
  <c r="G575" i="35"/>
  <c r="F577" i="35"/>
  <c r="F575" i="35"/>
  <c r="F579" i="35"/>
  <c r="F47" i="35"/>
  <c r="F49" i="35"/>
  <c r="F51" i="35"/>
  <c r="G47" i="35"/>
  <c r="G46" i="35"/>
  <c r="F50" i="35"/>
  <c r="F46" i="35"/>
  <c r="F48" i="35"/>
  <c r="G123" i="35"/>
  <c r="F124" i="35"/>
  <c r="F126" i="35"/>
  <c r="F128" i="35"/>
  <c r="G124" i="35"/>
  <c r="F123" i="35"/>
  <c r="F125" i="35"/>
  <c r="F127" i="35"/>
  <c r="G497" i="35"/>
  <c r="G674" i="35" s="1"/>
  <c r="F498" i="35"/>
  <c r="F675" i="35" s="1"/>
  <c r="F500" i="35"/>
  <c r="F502" i="35"/>
  <c r="G498" i="35"/>
  <c r="G675" i="35" s="1"/>
  <c r="F497" i="35"/>
  <c r="F674" i="35" s="1"/>
  <c r="F499" i="35"/>
  <c r="F676" i="35" s="1"/>
  <c r="F501" i="35"/>
  <c r="F299" i="35"/>
  <c r="F303" i="35"/>
  <c r="F305" i="35"/>
  <c r="G299" i="35"/>
  <c r="F300" i="35"/>
  <c r="F302" i="35"/>
  <c r="F304" i="35"/>
  <c r="G300" i="35"/>
  <c r="H47" i="35"/>
  <c r="E1146" i="36" s="1"/>
  <c r="N1146" i="36" s="1"/>
  <c r="F355" i="35"/>
  <c r="F357" i="35"/>
  <c r="F359" i="35"/>
  <c r="G355" i="35"/>
  <c r="F354" i="35"/>
  <c r="F356" i="35"/>
  <c r="F358" i="35"/>
  <c r="G354" i="35"/>
  <c r="F365" i="35"/>
  <c r="F367" i="35"/>
  <c r="F369" i="35"/>
  <c r="G365" i="35"/>
  <c r="F366" i="35"/>
  <c r="F368" i="35"/>
  <c r="F370" i="35"/>
  <c r="G366" i="35"/>
  <c r="G421" i="35"/>
  <c r="F420" i="35"/>
  <c r="F422" i="35"/>
  <c r="F424" i="35"/>
  <c r="G420" i="35"/>
  <c r="F421" i="35"/>
  <c r="F423" i="35"/>
  <c r="F425" i="35"/>
  <c r="F35" i="35"/>
  <c r="F37" i="35"/>
  <c r="F39" i="35"/>
  <c r="G35" i="35"/>
  <c r="G36" i="35"/>
  <c r="F36" i="35"/>
  <c r="F38" i="35"/>
  <c r="F40" i="35"/>
  <c r="F200" i="36"/>
  <c r="O200" i="36" s="1"/>
  <c r="F1221" i="36"/>
  <c r="O1221" i="36" s="1"/>
  <c r="E201" i="36"/>
  <c r="N201" i="36" s="1"/>
  <c r="E1222" i="36"/>
  <c r="N1222" i="36" s="1"/>
  <c r="E204" i="36"/>
  <c r="N204" i="36" s="1"/>
  <c r="E1225" i="36"/>
  <c r="N1225" i="36" s="1"/>
  <c r="E203" i="36"/>
  <c r="N203" i="36" s="1"/>
  <c r="E1224" i="36"/>
  <c r="N1224" i="36" s="1"/>
  <c r="E202" i="36"/>
  <c r="N202" i="36" s="1"/>
  <c r="E1223" i="36"/>
  <c r="N1223" i="36" s="1"/>
  <c r="E200" i="36"/>
  <c r="N200" i="36" s="1"/>
  <c r="E1221" i="36"/>
  <c r="N1221" i="36" s="1"/>
  <c r="H498" i="35"/>
  <c r="H238" i="35"/>
  <c r="E1085" i="36" s="1"/>
  <c r="N1085" i="36" s="1"/>
  <c r="H233" i="35"/>
  <c r="E1080" i="36" s="1"/>
  <c r="N1080" i="36" s="1"/>
  <c r="I233" i="35"/>
  <c r="F343" i="36" s="1"/>
  <c r="O343" i="36" s="1"/>
  <c r="H446" i="35"/>
  <c r="H500" i="35"/>
  <c r="E148" i="36" s="1"/>
  <c r="N148" i="36" s="1"/>
  <c r="H442" i="35"/>
  <c r="E167" i="36" s="1"/>
  <c r="N167" i="36" s="1"/>
  <c r="H499" i="35"/>
  <c r="H235" i="35"/>
  <c r="E48" i="36" s="1"/>
  <c r="N48" i="36" s="1"/>
  <c r="H236" i="35"/>
  <c r="E1083" i="36" s="1"/>
  <c r="N1083" i="36" s="1"/>
  <c r="H444" i="35"/>
  <c r="N180" i="36" s="1"/>
  <c r="C4" i="37" s="1"/>
  <c r="H443" i="35"/>
  <c r="N179" i="36" s="1"/>
  <c r="C3" i="37" s="1"/>
  <c r="H497" i="35"/>
  <c r="H576" i="35"/>
  <c r="E873" i="36" s="1"/>
  <c r="N873" i="36" s="1"/>
  <c r="H577" i="35"/>
  <c r="E874" i="36" s="1"/>
  <c r="N874" i="36" s="1"/>
  <c r="H575" i="35"/>
  <c r="E872" i="36" s="1"/>
  <c r="N872" i="36" s="1"/>
  <c r="I574" i="35"/>
  <c r="F871" i="36" s="1"/>
  <c r="O871" i="36" s="1"/>
  <c r="F816" i="36"/>
  <c r="O816" i="36" s="1"/>
  <c r="F475" i="36"/>
  <c r="O475" i="36" s="1"/>
  <c r="O178" i="36"/>
  <c r="D2" i="37" s="1"/>
  <c r="F167" i="36"/>
  <c r="O167" i="36" s="1"/>
  <c r="I266" i="35"/>
  <c r="F596" i="36" s="1"/>
  <c r="O596" i="36" s="1"/>
  <c r="I332" i="35"/>
  <c r="I618" i="35" s="1"/>
  <c r="F1111" i="36" s="1"/>
  <c r="O1111" i="36" s="1"/>
  <c r="I541" i="35"/>
  <c r="F2" i="36" s="1"/>
  <c r="O2" i="36" s="1"/>
  <c r="F13" i="36"/>
  <c r="O13" i="36" s="1"/>
  <c r="H269" i="35"/>
  <c r="E599" i="36" s="1"/>
  <c r="N599" i="36" s="1"/>
  <c r="H267" i="35"/>
  <c r="E597" i="36" s="1"/>
  <c r="N597" i="36" s="1"/>
  <c r="H268" i="35"/>
  <c r="E598" i="36" s="1"/>
  <c r="N598" i="36" s="1"/>
  <c r="N838" i="36"/>
  <c r="E827" i="36"/>
  <c r="N827" i="36" s="1"/>
  <c r="H618" i="35"/>
  <c r="E1111" i="36" s="1"/>
  <c r="N1111" i="36" s="1"/>
  <c r="E1069" i="36"/>
  <c r="N1069" i="36" s="1"/>
  <c r="O156" i="36"/>
  <c r="F145" i="36"/>
  <c r="O145" i="36" s="1"/>
  <c r="E1081" i="36"/>
  <c r="N1081" i="36" s="1"/>
  <c r="E47" i="36"/>
  <c r="N47" i="36" s="1"/>
  <c r="E344" i="36"/>
  <c r="N344" i="36" s="1"/>
  <c r="E698" i="36"/>
  <c r="N698" i="36" s="1"/>
  <c r="C60" i="37" s="1"/>
  <c r="E709" i="36"/>
  <c r="N709" i="36" s="1"/>
  <c r="E697" i="36"/>
  <c r="N697" i="36" s="1"/>
  <c r="C59" i="37" s="1"/>
  <c r="E708" i="36"/>
  <c r="N708" i="36" s="1"/>
  <c r="F695" i="36"/>
  <c r="O695" i="36" s="1"/>
  <c r="D57" i="37" s="1"/>
  <c r="F706" i="36"/>
  <c r="O706" i="36" s="1"/>
  <c r="E795" i="36"/>
  <c r="N795" i="36" s="1"/>
  <c r="E475" i="36"/>
  <c r="N475" i="36" s="1"/>
  <c r="F563" i="36"/>
  <c r="O563" i="36" s="1"/>
  <c r="F530" i="36"/>
  <c r="O530" i="36" s="1"/>
  <c r="F123" i="36"/>
  <c r="O123" i="36" s="1"/>
  <c r="N486" i="36"/>
  <c r="E629" i="36"/>
  <c r="N629" i="36" s="1"/>
  <c r="E860" i="36"/>
  <c r="N860" i="36" s="1"/>
  <c r="E948" i="36"/>
  <c r="N948" i="36" s="1"/>
  <c r="F574" i="36"/>
  <c r="O574" i="36" s="1"/>
  <c r="N542" i="36"/>
  <c r="F288" i="36"/>
  <c r="O288" i="36" s="1"/>
  <c r="F310" i="36"/>
  <c r="O310" i="36" s="1"/>
  <c r="F508" i="36"/>
  <c r="O508" i="36" s="1"/>
  <c r="F431" i="36"/>
  <c r="O431" i="36" s="1"/>
  <c r="N487" i="36"/>
  <c r="E928" i="36"/>
  <c r="N928" i="36" s="1"/>
  <c r="E476" i="36"/>
  <c r="N476" i="36" s="1"/>
  <c r="E465" i="36"/>
  <c r="N465" i="36" s="1"/>
  <c r="F1014" i="36"/>
  <c r="O1014" i="36" s="1"/>
  <c r="E785" i="36"/>
  <c r="N785" i="36" s="1"/>
  <c r="E213" i="36"/>
  <c r="N213" i="36" s="1"/>
  <c r="C92" i="37" s="1"/>
  <c r="E498" i="36"/>
  <c r="N498" i="36" s="1"/>
  <c r="E235" i="36"/>
  <c r="N235" i="36" s="1"/>
  <c r="E917" i="36"/>
  <c r="N917" i="36" s="1"/>
  <c r="E861" i="36"/>
  <c r="N861" i="36" s="1"/>
  <c r="F1112" i="36"/>
  <c r="O1112" i="36" s="1"/>
  <c r="E1124" i="36"/>
  <c r="N1124" i="36" s="1"/>
  <c r="E510" i="36"/>
  <c r="N510" i="36" s="1"/>
  <c r="E850" i="36"/>
  <c r="N850" i="36" s="1"/>
  <c r="E586" i="36"/>
  <c r="N586" i="36" s="1"/>
  <c r="E564" i="36"/>
  <c r="N564" i="36" s="1"/>
  <c r="E784" i="36"/>
  <c r="N784" i="36" s="1"/>
  <c r="F739" i="36"/>
  <c r="O739" i="36" s="1"/>
  <c r="E916" i="36"/>
  <c r="N916" i="36" s="1"/>
  <c r="N543" i="36"/>
  <c r="I212" i="35"/>
  <c r="F1037" i="36" s="1"/>
  <c r="O1037" i="36" s="1"/>
  <c r="E412" i="36"/>
  <c r="N412" i="36" s="1"/>
  <c r="I355" i="35"/>
  <c r="F102" i="36" s="1"/>
  <c r="O102" i="36" s="1"/>
  <c r="I58" i="35"/>
  <c r="F245" i="36" s="1"/>
  <c r="O245" i="36" s="1"/>
  <c r="I520" i="35"/>
  <c r="F388" i="36" s="1"/>
  <c r="O388" i="36" s="1"/>
  <c r="I608" i="35"/>
  <c r="F762" i="36" s="1"/>
  <c r="O762" i="36" s="1"/>
  <c r="I3" i="35"/>
  <c r="F1233" i="36" s="1"/>
  <c r="O1233" i="36" s="1"/>
  <c r="E124" i="36"/>
  <c r="N124" i="36" s="1"/>
  <c r="I322" i="35"/>
  <c r="F729" i="36" s="1"/>
  <c r="O729" i="36" s="1"/>
  <c r="E224" i="36"/>
  <c r="N224" i="36" s="1"/>
  <c r="E797" i="36"/>
  <c r="N797" i="36" s="1"/>
  <c r="E378" i="36"/>
  <c r="N378" i="36" s="1"/>
  <c r="H17" i="35"/>
  <c r="E523" i="36" s="1"/>
  <c r="N523" i="36" s="1"/>
  <c r="H61" i="35"/>
  <c r="E248" i="36" s="1"/>
  <c r="N248" i="36" s="1"/>
  <c r="H523" i="35"/>
  <c r="E391" i="36" s="1"/>
  <c r="N391" i="36" s="1"/>
  <c r="H6" i="35"/>
  <c r="H127" i="35"/>
  <c r="E941" i="36" s="1"/>
  <c r="N941" i="36" s="1"/>
  <c r="F783" i="36"/>
  <c r="O783" i="36" s="1"/>
  <c r="H237" i="35"/>
  <c r="E50" i="36" s="1"/>
  <c r="N50" i="36" s="1"/>
  <c r="H435" i="35"/>
  <c r="H105" i="35"/>
  <c r="E952" i="36" s="1"/>
  <c r="N952" i="36" s="1"/>
  <c r="H391" i="35"/>
  <c r="E215" i="36" s="1"/>
  <c r="N215" i="36" s="1"/>
  <c r="C94" i="37" s="1"/>
  <c r="H292" i="35"/>
  <c r="E402" i="36" s="1"/>
  <c r="N402" i="36" s="1"/>
  <c r="H270" i="35"/>
  <c r="H116" i="35"/>
  <c r="E963" i="36" s="1"/>
  <c r="N963" i="36" s="1"/>
  <c r="H457" i="35"/>
  <c r="E325" i="36" s="1"/>
  <c r="N325" i="36" s="1"/>
  <c r="H72" i="35"/>
  <c r="H281" i="35"/>
  <c r="H369" i="35"/>
  <c r="H94" i="35"/>
  <c r="E754" i="36" s="1"/>
  <c r="N754" i="36" s="1"/>
  <c r="E91" i="36"/>
  <c r="N91" i="36" s="1"/>
  <c r="E959" i="36"/>
  <c r="N959" i="36" s="1"/>
  <c r="E563" i="36"/>
  <c r="N563" i="36" s="1"/>
  <c r="H83" i="35"/>
  <c r="E479" i="36" s="1"/>
  <c r="N479" i="36" s="1"/>
  <c r="H304" i="35"/>
  <c r="E1008" i="36" s="1"/>
  <c r="N1008" i="36" s="1"/>
  <c r="H567" i="35"/>
  <c r="E1018" i="36" s="1"/>
  <c r="N1018" i="36" s="1"/>
  <c r="H336" i="35"/>
  <c r="H468" i="35"/>
  <c r="E897" i="36" s="1"/>
  <c r="N897" i="36" s="1"/>
  <c r="H138" i="35"/>
  <c r="E61" i="36" s="1"/>
  <c r="N61" i="36" s="1"/>
  <c r="H226" i="35"/>
  <c r="E655" i="36" s="1"/>
  <c r="N655" i="36" s="1"/>
  <c r="H611" i="35"/>
  <c r="E765" i="36" s="1"/>
  <c r="N765" i="36" s="1"/>
  <c r="H325" i="35"/>
  <c r="E732" i="36" s="1"/>
  <c r="N732" i="36" s="1"/>
  <c r="E787" i="36"/>
  <c r="N787" i="36" s="1"/>
  <c r="E585" i="36"/>
  <c r="N585" i="36" s="1"/>
  <c r="H149" i="35"/>
  <c r="E270" i="36" s="1"/>
  <c r="N270" i="36" s="1"/>
  <c r="H623" i="35"/>
  <c r="E1127" i="36" s="1"/>
  <c r="N1127" i="36" s="1"/>
  <c r="H512" i="35"/>
  <c r="E424" i="36" s="1"/>
  <c r="N424" i="36" s="1"/>
  <c r="H479" i="35"/>
  <c r="E974" i="36" s="1"/>
  <c r="N974" i="36" s="1"/>
  <c r="H501" i="35"/>
  <c r="J65" i="21"/>
  <c r="H28" i="35"/>
  <c r="E512" i="36" s="1"/>
  <c r="N512" i="36" s="1"/>
  <c r="H402" i="35"/>
  <c r="E611" i="36" s="1"/>
  <c r="N611" i="36" s="1"/>
  <c r="H534" i="35"/>
  <c r="E886" i="36" s="1"/>
  <c r="N886" i="36" s="1"/>
  <c r="H413" i="35"/>
  <c r="E1051" i="36" s="1"/>
  <c r="N1051" i="36" s="1"/>
  <c r="E851" i="36"/>
  <c r="N851" i="36" s="1"/>
  <c r="E862" i="36"/>
  <c r="N862" i="36" s="1"/>
  <c r="E818" i="36"/>
  <c r="N818" i="36" s="1"/>
  <c r="H370" i="35"/>
  <c r="E1125" i="36"/>
  <c r="N1125" i="36" s="1"/>
  <c r="H524" i="35"/>
  <c r="E381" i="36" s="1"/>
  <c r="N381" i="36" s="1"/>
  <c r="E477" i="36"/>
  <c r="N477" i="36" s="1"/>
  <c r="F233" i="36"/>
  <c r="O233" i="36" s="1"/>
  <c r="E453" i="36"/>
  <c r="N453" i="36" s="1"/>
  <c r="E1061" i="36"/>
  <c r="N1061" i="36" s="1"/>
  <c r="H423" i="35"/>
  <c r="E236" i="36" s="1"/>
  <c r="N236" i="36" s="1"/>
  <c r="H170" i="35"/>
  <c r="H214" i="35"/>
  <c r="E1039" i="36" s="1"/>
  <c r="N1039" i="36" s="1"/>
  <c r="E83" i="36"/>
  <c r="N83" i="36" s="1"/>
  <c r="C17" i="37" s="1"/>
  <c r="H612" i="35"/>
  <c r="E766" i="36" s="1"/>
  <c r="N766" i="36" s="1"/>
  <c r="H128" i="35"/>
  <c r="E942" i="36" s="1"/>
  <c r="N942" i="36" s="1"/>
  <c r="H359" i="35"/>
  <c r="E106" i="36" s="1"/>
  <c r="N106" i="36" s="1"/>
  <c r="H62" i="35"/>
  <c r="E249" i="36" s="1"/>
  <c r="N249" i="36" s="1"/>
  <c r="E819" i="36"/>
  <c r="N819" i="36" s="1"/>
  <c r="H7" i="35"/>
  <c r="E1237" i="36" s="1"/>
  <c r="N1237" i="36" s="1"/>
  <c r="H205" i="35"/>
  <c r="E986" i="36" s="1"/>
  <c r="N986" i="36" s="1"/>
  <c r="H95" i="35"/>
  <c r="E755" i="36" s="1"/>
  <c r="N755" i="36" s="1"/>
  <c r="E214" i="36"/>
  <c r="N214" i="36" s="1"/>
  <c r="C93" i="37" s="1"/>
  <c r="E1060" i="36"/>
  <c r="N1060" i="36" s="1"/>
  <c r="I64" i="21"/>
  <c r="S64" i="21"/>
  <c r="F599" i="35" s="1"/>
  <c r="H18" i="35"/>
  <c r="E524" i="36" s="1"/>
  <c r="N524" i="36" s="1"/>
  <c r="H40" i="35"/>
  <c r="E84" i="36" s="1"/>
  <c r="N84" i="36" s="1"/>
  <c r="C18" i="37" s="1"/>
  <c r="H326" i="35"/>
  <c r="E733" i="36" s="1"/>
  <c r="N733" i="36" s="1"/>
  <c r="E411" i="36"/>
  <c r="N411" i="36" s="1"/>
  <c r="O65" i="21"/>
  <c r="H589" i="35" s="1"/>
  <c r="E28" i="36" s="1"/>
  <c r="N28" i="36" s="1"/>
  <c r="H248" i="35"/>
  <c r="E138" i="36" s="1"/>
  <c r="N138" i="36" s="1"/>
  <c r="H171" i="35"/>
  <c r="H51" i="35"/>
  <c r="E478" i="36"/>
  <c r="N478" i="36" s="1"/>
  <c r="F442" i="36"/>
  <c r="O442" i="36" s="1"/>
  <c r="D35" i="37" s="1"/>
  <c r="H216" i="35"/>
  <c r="E1041" i="36" s="1"/>
  <c r="N1041" i="36" s="1"/>
  <c r="E775" i="36"/>
  <c r="N775" i="36" s="1"/>
  <c r="H139" i="35"/>
  <c r="E62" i="36" s="1"/>
  <c r="N62" i="36" s="1"/>
  <c r="H161" i="35"/>
  <c r="E117" i="36" s="1"/>
  <c r="N117" i="36" s="1"/>
  <c r="E1050" i="36"/>
  <c r="N1050" i="36" s="1"/>
  <c r="N64" i="21"/>
  <c r="F588" i="35" s="1"/>
  <c r="J64" i="21"/>
  <c r="H434" i="35"/>
  <c r="H445" i="35"/>
  <c r="H346" i="35"/>
  <c r="H148" i="35"/>
  <c r="E269" i="36" s="1"/>
  <c r="N269" i="36" s="1"/>
  <c r="H335" i="35"/>
  <c r="H258" i="35"/>
  <c r="E192" i="36" s="1"/>
  <c r="N192" i="36" s="1"/>
  <c r="H622" i="35"/>
  <c r="H71" i="35"/>
  <c r="H303" i="35"/>
  <c r="E1007" i="36" s="1"/>
  <c r="N1007" i="36" s="1"/>
  <c r="H280" i="35"/>
  <c r="H225" i="35"/>
  <c r="E654" i="36" s="1"/>
  <c r="N654" i="36" s="1"/>
  <c r="E442" i="36"/>
  <c r="N442" i="36" s="1"/>
  <c r="C35" i="37" s="1"/>
  <c r="E919" i="36"/>
  <c r="N919" i="36" s="1"/>
  <c r="E233" i="36"/>
  <c r="N233" i="36" s="1"/>
  <c r="E226" i="36"/>
  <c r="N226" i="36" s="1"/>
  <c r="E237" i="36"/>
  <c r="N237" i="36" s="1"/>
  <c r="F1058" i="36"/>
  <c r="O1058" i="36" s="1"/>
  <c r="F90" i="36"/>
  <c r="O90" i="36" s="1"/>
  <c r="F398" i="36"/>
  <c r="O398" i="36" s="1"/>
  <c r="E71" i="36"/>
  <c r="N71" i="36" s="1"/>
  <c r="E500" i="36"/>
  <c r="N500" i="36" s="1"/>
  <c r="E1059" i="36"/>
  <c r="N1059" i="36" s="1"/>
  <c r="E929" i="36"/>
  <c r="N929" i="36" s="1"/>
  <c r="E443" i="36"/>
  <c r="N443" i="36" s="1"/>
  <c r="C36" i="37" s="1"/>
  <c r="D22" i="42"/>
  <c r="F22" i="42"/>
  <c r="E234" i="36"/>
  <c r="N234" i="36" s="1"/>
  <c r="E399" i="36"/>
  <c r="N399" i="36" s="1"/>
  <c r="E92" i="36"/>
  <c r="N92" i="36" s="1"/>
  <c r="F926" i="36"/>
  <c r="O926" i="36" s="1"/>
  <c r="F959" i="36"/>
  <c r="O959" i="36" s="1"/>
  <c r="E863" i="36"/>
  <c r="N863" i="36" s="1"/>
  <c r="E951" i="36"/>
  <c r="N951" i="36" s="1"/>
  <c r="N334" i="36"/>
  <c r="C26" i="37" s="1"/>
  <c r="E323" i="36"/>
  <c r="N323" i="36" s="1"/>
  <c r="B60" i="42"/>
  <c r="S66" i="21"/>
  <c r="F601" i="35" s="1"/>
  <c r="N66" i="21"/>
  <c r="F590" i="35" s="1"/>
  <c r="I66" i="21"/>
  <c r="H403" i="35"/>
  <c r="E612" i="36" s="1"/>
  <c r="N612" i="36" s="1"/>
  <c r="C67" i="21"/>
  <c r="F68" i="21"/>
  <c r="B67" i="21"/>
  <c r="H150" i="35"/>
  <c r="E271" i="36" s="1"/>
  <c r="N271" i="36" s="1"/>
  <c r="H458" i="35"/>
  <c r="J66" i="21"/>
  <c r="T66" i="21"/>
  <c r="H601" i="35" s="1"/>
  <c r="E40" i="36" s="1"/>
  <c r="N40" i="36" s="1"/>
  <c r="H183" i="35"/>
  <c r="H337" i="35"/>
  <c r="H315" i="35"/>
  <c r="H271" i="35"/>
  <c r="H293" i="35"/>
  <c r="H117" i="35"/>
  <c r="H513" i="35"/>
  <c r="E425" i="36" s="1"/>
  <c r="N425" i="36" s="1"/>
  <c r="O66" i="21"/>
  <c r="H590" i="35" s="1"/>
  <c r="E29" i="36" s="1"/>
  <c r="N29" i="36" s="1"/>
  <c r="H469" i="35"/>
  <c r="H502" i="35"/>
  <c r="H568" i="35"/>
  <c r="H106" i="35"/>
  <c r="H29" i="35"/>
  <c r="H535" i="35"/>
  <c r="E887" i="36" s="1"/>
  <c r="N887" i="36" s="1"/>
  <c r="H73" i="35"/>
  <c r="H425" i="35"/>
  <c r="H172" i="35"/>
  <c r="H348" i="35"/>
  <c r="H305" i="35"/>
  <c r="E1009" i="36" s="1"/>
  <c r="N1009" i="36" s="1"/>
  <c r="H227" i="35"/>
  <c r="E656" i="36" s="1"/>
  <c r="N656" i="36" s="1"/>
  <c r="H194" i="35"/>
  <c r="H84" i="35"/>
  <c r="H381" i="35"/>
  <c r="E260" i="36" s="1"/>
  <c r="N260" i="36" s="1"/>
  <c r="H260" i="35"/>
  <c r="E194" i="36" s="1"/>
  <c r="N194" i="36" s="1"/>
  <c r="H436" i="35"/>
  <c r="H282" i="35"/>
  <c r="H579" i="35"/>
  <c r="E876" i="36" s="1"/>
  <c r="N876" i="36" s="1"/>
  <c r="H392" i="35"/>
  <c r="H480" i="35"/>
  <c r="H414" i="35"/>
  <c r="H624" i="35"/>
  <c r="H447" i="35"/>
  <c r="E796" i="36"/>
  <c r="N796" i="36" s="1"/>
  <c r="F696" i="36"/>
  <c r="O696" i="36" s="1"/>
  <c r="D58" i="37" s="1"/>
  <c r="F68" i="36"/>
  <c r="O68" i="36" s="1"/>
  <c r="E741" i="36"/>
  <c r="N741" i="36" s="1"/>
  <c r="F80" i="36"/>
  <c r="O80" i="36" s="1"/>
  <c r="D14" i="37" s="1"/>
  <c r="E729" i="36"/>
  <c r="N729" i="36" s="1"/>
  <c r="F685" i="36"/>
  <c r="O685" i="36" s="1"/>
  <c r="F718" i="36"/>
  <c r="O718" i="36" s="1"/>
  <c r="D69" i="37" s="1"/>
  <c r="E686" i="36"/>
  <c r="N686" i="36" s="1"/>
  <c r="E995" i="36"/>
  <c r="N995" i="36" s="1"/>
  <c r="E390" i="36"/>
  <c r="N390" i="36" s="1"/>
  <c r="F982" i="36"/>
  <c r="O982" i="36" s="1"/>
  <c r="K62" i="21"/>
  <c r="U62" i="21"/>
  <c r="G597" i="35" s="1"/>
  <c r="D63" i="21"/>
  <c r="G510" i="35" s="1"/>
  <c r="P62" i="21"/>
  <c r="G586" i="35" s="1"/>
  <c r="E63" i="21"/>
  <c r="L62" i="21"/>
  <c r="V62" i="21"/>
  <c r="I597" i="35" s="1"/>
  <c r="F36" i="36" s="1"/>
  <c r="O36" i="36" s="1"/>
  <c r="Q62" i="21"/>
  <c r="I586" i="35" s="1"/>
  <c r="F25" i="36" s="1"/>
  <c r="O25" i="36" s="1"/>
  <c r="I102" i="35"/>
  <c r="I179" i="35"/>
  <c r="I113" i="35"/>
  <c r="I168" i="35"/>
  <c r="I465" i="35"/>
  <c r="I25" i="35"/>
  <c r="I421" i="35"/>
  <c r="I135" i="35"/>
  <c r="F58" i="36" s="1"/>
  <c r="O58" i="36" s="1"/>
  <c r="I311" i="35"/>
  <c r="I498" i="35"/>
  <c r="I675" i="35" s="1"/>
  <c r="I377" i="35"/>
  <c r="F256" i="36" s="1"/>
  <c r="O256" i="36" s="1"/>
  <c r="I333" i="35"/>
  <c r="I190" i="35"/>
  <c r="I388" i="35"/>
  <c r="I575" i="35"/>
  <c r="F872" i="36" s="1"/>
  <c r="O872" i="36" s="1"/>
  <c r="I564" i="35"/>
  <c r="I267" i="35"/>
  <c r="I234" i="35"/>
  <c r="I620" i="35"/>
  <c r="I69" i="35"/>
  <c r="I410" i="35"/>
  <c r="I223" i="35"/>
  <c r="F652" i="36" s="1"/>
  <c r="O652" i="36" s="1"/>
  <c r="I300" i="35"/>
  <c r="F1004" i="36" s="1"/>
  <c r="O1004" i="36" s="1"/>
  <c r="I509" i="35"/>
  <c r="F421" i="36" s="1"/>
  <c r="O421" i="36" s="1"/>
  <c r="I531" i="35"/>
  <c r="F883" i="36" s="1"/>
  <c r="O883" i="36" s="1"/>
  <c r="I289" i="35"/>
  <c r="I146" i="35"/>
  <c r="F267" i="36" s="1"/>
  <c r="O267" i="36" s="1"/>
  <c r="I344" i="35"/>
  <c r="I454" i="35"/>
  <c r="I476" i="35"/>
  <c r="I256" i="35"/>
  <c r="F190" i="36" s="1"/>
  <c r="O190" i="36" s="1"/>
  <c r="I432" i="35"/>
  <c r="I157" i="35"/>
  <c r="I80" i="35"/>
  <c r="I399" i="35"/>
  <c r="F608" i="36" s="1"/>
  <c r="O608" i="36" s="1"/>
  <c r="I245" i="35"/>
  <c r="F135" i="36" s="1"/>
  <c r="O135" i="36" s="1"/>
  <c r="I443" i="35"/>
  <c r="I278" i="35"/>
  <c r="E994" i="36"/>
  <c r="N994" i="36" s="1"/>
  <c r="E742" i="36"/>
  <c r="N742" i="36" s="1"/>
  <c r="E79" i="36"/>
  <c r="N79" i="36" s="1"/>
  <c r="C13" i="37" s="1"/>
  <c r="E70" i="36"/>
  <c r="N70" i="36" s="1"/>
  <c r="E687" i="36"/>
  <c r="N687" i="36" s="1"/>
  <c r="E992" i="36"/>
  <c r="N992" i="36" s="1"/>
  <c r="E366" i="36"/>
  <c r="N366" i="36" s="1"/>
  <c r="E996" i="36"/>
  <c r="N996" i="36" s="1"/>
  <c r="F717" i="36"/>
  <c r="O717" i="36" s="1"/>
  <c r="D68" i="37" s="1"/>
  <c r="E720" i="36"/>
  <c r="N720" i="36" s="1"/>
  <c r="C71" i="37" s="1"/>
  <c r="E80" i="36"/>
  <c r="N80" i="36" s="1"/>
  <c r="C14" i="37" s="1"/>
  <c r="F684" i="36"/>
  <c r="O684" i="36" s="1"/>
  <c r="E982" i="36"/>
  <c r="N982" i="36" s="1"/>
  <c r="E993" i="36"/>
  <c r="N993" i="36" s="1"/>
  <c r="E719" i="36"/>
  <c r="N719" i="36" s="1"/>
  <c r="C70" i="37" s="1"/>
  <c r="E684" i="36"/>
  <c r="N684" i="36" s="1"/>
  <c r="E695" i="36"/>
  <c r="N695" i="36" s="1"/>
  <c r="C57" i="37" s="1"/>
  <c r="E717" i="36"/>
  <c r="N717" i="36" s="1"/>
  <c r="C68" i="37" s="1"/>
  <c r="E696" i="36"/>
  <c r="N696" i="36" s="1"/>
  <c r="C58" i="37" s="1"/>
  <c r="E685" i="36"/>
  <c r="N685" i="36" s="1"/>
  <c r="E718" i="36"/>
  <c r="N718" i="36" s="1"/>
  <c r="C69" i="37" s="1"/>
  <c r="I487" i="35"/>
  <c r="H490" i="35"/>
  <c r="H489" i="35"/>
  <c r="I486" i="35"/>
  <c r="H488" i="35"/>
  <c r="H486" i="35"/>
  <c r="H491" i="35"/>
  <c r="H487" i="35"/>
  <c r="E376" i="36"/>
  <c r="N376" i="36" s="1"/>
  <c r="E387" i="36"/>
  <c r="N387" i="36" s="1"/>
  <c r="F981" i="36"/>
  <c r="O981" i="36" s="1"/>
  <c r="F992" i="36"/>
  <c r="O992" i="36" s="1"/>
  <c r="F387" i="36"/>
  <c r="O387" i="36" s="1"/>
  <c r="F376" i="36"/>
  <c r="O376" i="36" s="1"/>
  <c r="E377" i="36"/>
  <c r="N377" i="36" s="1"/>
  <c r="E388" i="36"/>
  <c r="N388" i="36" s="1"/>
  <c r="E728" i="36"/>
  <c r="N728" i="36" s="1"/>
  <c r="E739" i="36"/>
  <c r="N739" i="36" s="1"/>
  <c r="E116" i="36" l="1"/>
  <c r="N116" i="36" s="1"/>
  <c r="E291" i="36"/>
  <c r="N291" i="36" s="1"/>
  <c r="E112" i="36"/>
  <c r="N112" i="36" s="1"/>
  <c r="F464" i="36"/>
  <c r="O464" i="36" s="1"/>
  <c r="E973" i="36"/>
  <c r="N973" i="36" s="1"/>
  <c r="E971" i="36"/>
  <c r="N971" i="36" s="1"/>
  <c r="E972" i="36"/>
  <c r="N972" i="36" s="1"/>
  <c r="E1015" i="36"/>
  <c r="N1015" i="36" s="1"/>
  <c r="F112" i="36"/>
  <c r="O112" i="36" s="1"/>
  <c r="E290" i="36"/>
  <c r="N290" i="36" s="1"/>
  <c r="E620" i="36"/>
  <c r="N620" i="36" s="1"/>
  <c r="E311" i="36"/>
  <c r="N311" i="36" s="1"/>
  <c r="E147" i="36"/>
  <c r="N147" i="36" s="1"/>
  <c r="H676" i="35"/>
  <c r="E145" i="36"/>
  <c r="N145" i="36" s="1"/>
  <c r="H674" i="35"/>
  <c r="N157" i="36"/>
  <c r="H675" i="35"/>
  <c r="E1177" i="36"/>
  <c r="N1177" i="36" s="1"/>
  <c r="E641" i="36"/>
  <c r="N641" i="36" s="1"/>
  <c r="E1025" i="36"/>
  <c r="N1025" i="36" s="1"/>
  <c r="E895" i="36"/>
  <c r="N895" i="36" s="1"/>
  <c r="E643" i="36"/>
  <c r="N643" i="36" s="1"/>
  <c r="F1188" i="36"/>
  <c r="O1188" i="36" s="1"/>
  <c r="D106" i="37" s="1"/>
  <c r="F321" i="36"/>
  <c r="O321" i="36" s="1"/>
  <c r="E630" i="36"/>
  <c r="N630" i="36" s="1"/>
  <c r="E894" i="36"/>
  <c r="N894" i="36" s="1"/>
  <c r="E896" i="36"/>
  <c r="N896" i="36" s="1"/>
  <c r="E907" i="36"/>
  <c r="N907" i="36" s="1"/>
  <c r="E906" i="36"/>
  <c r="N906" i="36" s="1"/>
  <c r="E1017" i="36"/>
  <c r="N1017" i="36" s="1"/>
  <c r="E642" i="36"/>
  <c r="N642" i="36" s="1"/>
  <c r="N839" i="36"/>
  <c r="N840" i="36"/>
  <c r="F228" i="35"/>
  <c r="F63" i="35"/>
  <c r="F272" i="35"/>
  <c r="F85" i="35"/>
  <c r="F140" i="35"/>
  <c r="F636" i="35"/>
  <c r="F393" i="35"/>
  <c r="F239" i="35"/>
  <c r="F415" i="35"/>
  <c r="F613" i="35"/>
  <c r="F74" i="35"/>
  <c r="F669" i="35"/>
  <c r="F569" i="35"/>
  <c r="F118" i="35"/>
  <c r="F448" i="35"/>
  <c r="F283" i="35"/>
  <c r="F107" i="35"/>
  <c r="F327" i="35"/>
  <c r="F206" i="35"/>
  <c r="F349" i="35"/>
  <c r="F261" i="35"/>
  <c r="F19" i="35"/>
  <c r="F437" i="35"/>
  <c r="F404" i="35"/>
  <c r="F459" i="35"/>
  <c r="F382" i="35"/>
  <c r="F173" i="35"/>
  <c r="F195" i="35"/>
  <c r="F184" i="35"/>
  <c r="F30" i="35"/>
  <c r="F625" i="35"/>
  <c r="F338" i="35"/>
  <c r="F647" i="35"/>
  <c r="F162" i="35"/>
  <c r="F250" i="35"/>
  <c r="F536" i="35"/>
  <c r="F492" i="35"/>
  <c r="G422" i="35"/>
  <c r="F426" i="35"/>
  <c r="F306" i="35"/>
  <c r="G499" i="35"/>
  <c r="G676" i="35" s="1"/>
  <c r="F129" i="35"/>
  <c r="F52" i="35"/>
  <c r="F580" i="35"/>
  <c r="F96" i="35"/>
  <c r="G466" i="35"/>
  <c r="F470" i="35"/>
  <c r="F316" i="35"/>
  <c r="F217" i="35"/>
  <c r="F658" i="35"/>
  <c r="E841" i="36"/>
  <c r="E489" i="36"/>
  <c r="N489" i="36" s="1"/>
  <c r="E544" i="36"/>
  <c r="E159" i="36"/>
  <c r="E335" i="36"/>
  <c r="N335" i="36" s="1"/>
  <c r="C27" i="37" s="1"/>
  <c r="E302" i="36"/>
  <c r="E181" i="36"/>
  <c r="F8" i="35"/>
  <c r="E1192" i="36"/>
  <c r="N1192" i="36" s="1"/>
  <c r="C110" i="37" s="1"/>
  <c r="E1181" i="36"/>
  <c r="N1181" i="36" s="1"/>
  <c r="G224" i="35"/>
  <c r="G59" i="35"/>
  <c r="G268" i="35"/>
  <c r="G81" i="35"/>
  <c r="G411" i="35"/>
  <c r="G609" i="35"/>
  <c r="G136" i="35"/>
  <c r="G665" i="35"/>
  <c r="G565" i="35"/>
  <c r="G235" i="35"/>
  <c r="G213" i="35"/>
  <c r="G70" i="35"/>
  <c r="G632" i="35"/>
  <c r="G114" i="35"/>
  <c r="G444" i="35"/>
  <c r="G279" i="35"/>
  <c r="G103" i="35"/>
  <c r="G323" i="35"/>
  <c r="G202" i="35"/>
  <c r="G345" i="35"/>
  <c r="G257" i="35"/>
  <c r="G15" i="35"/>
  <c r="G621" i="35"/>
  <c r="G169" i="35"/>
  <c r="G400" i="35"/>
  <c r="G26" i="35"/>
  <c r="G643" i="35"/>
  <c r="G158" i="35"/>
  <c r="G433" i="35"/>
  <c r="G246" i="35"/>
  <c r="G532" i="35"/>
  <c r="G334" i="35"/>
  <c r="G455" i="35"/>
  <c r="G389" i="35"/>
  <c r="G180" i="35"/>
  <c r="G488" i="35"/>
  <c r="G378" i="35"/>
  <c r="G302" i="35"/>
  <c r="G576" i="35"/>
  <c r="F525" i="35"/>
  <c r="G521" i="35"/>
  <c r="F514" i="35"/>
  <c r="G477" i="35"/>
  <c r="G147" i="35"/>
  <c r="F151" i="35"/>
  <c r="E1182" i="36"/>
  <c r="N1182" i="36" s="1"/>
  <c r="E1193" i="36"/>
  <c r="N1193" i="36" s="1"/>
  <c r="C111" i="37" s="1"/>
  <c r="F1178" i="36"/>
  <c r="O1178" i="36" s="1"/>
  <c r="F1189" i="36"/>
  <c r="O1189" i="36" s="1"/>
  <c r="D107" i="37" s="1"/>
  <c r="H492" i="35"/>
  <c r="E558" i="36" s="1"/>
  <c r="N558" i="36" s="1"/>
  <c r="C85" i="37" s="1"/>
  <c r="G85" i="21"/>
  <c r="H658" i="35"/>
  <c r="H669" i="35"/>
  <c r="E1205" i="36" s="1"/>
  <c r="N1205" i="36" s="1"/>
  <c r="H636" i="35"/>
  <c r="E1140" i="36" s="1"/>
  <c r="N1140" i="36" s="1"/>
  <c r="H647" i="35"/>
  <c r="E1172" i="36" s="1"/>
  <c r="N1172" i="36" s="1"/>
  <c r="F503" i="35"/>
  <c r="G125" i="35"/>
  <c r="G48" i="35"/>
  <c r="G92" i="35"/>
  <c r="G290" i="35"/>
  <c r="G191" i="35"/>
  <c r="G654" i="35"/>
  <c r="E843" i="36"/>
  <c r="E491" i="36"/>
  <c r="E546" i="36"/>
  <c r="E304" i="36"/>
  <c r="E161" i="36"/>
  <c r="E337" i="36"/>
  <c r="E183" i="36"/>
  <c r="E545" i="36"/>
  <c r="N545" i="36" s="1"/>
  <c r="E842" i="36"/>
  <c r="N842" i="36" s="1"/>
  <c r="E490" i="36"/>
  <c r="E336" i="36"/>
  <c r="N336" i="36" s="1"/>
  <c r="C28" i="37" s="1"/>
  <c r="E303" i="36"/>
  <c r="E182" i="36"/>
  <c r="N182" i="36" s="1"/>
  <c r="C6" i="37" s="1"/>
  <c r="E160" i="36"/>
  <c r="N160" i="36" s="1"/>
  <c r="F542" i="36"/>
  <c r="F839" i="36"/>
  <c r="F487" i="36"/>
  <c r="F179" i="36"/>
  <c r="F333" i="36"/>
  <c r="F157" i="36"/>
  <c r="F300" i="36"/>
  <c r="I488" i="35"/>
  <c r="F279" i="36" s="1"/>
  <c r="O279" i="36" s="1"/>
  <c r="H81" i="21"/>
  <c r="I654" i="35"/>
  <c r="I665" i="35"/>
  <c r="F1201" i="36" s="1"/>
  <c r="O1201" i="36" s="1"/>
  <c r="I643" i="35"/>
  <c r="F1168" i="36" s="1"/>
  <c r="O1168" i="36" s="1"/>
  <c r="I632" i="35"/>
  <c r="F1136" i="36" s="1"/>
  <c r="O1136" i="36" s="1"/>
  <c r="G37" i="35"/>
  <c r="F41" i="35"/>
  <c r="G367" i="35"/>
  <c r="F371" i="35"/>
  <c r="G356" i="35"/>
  <c r="F360" i="35"/>
  <c r="G312" i="35"/>
  <c r="F481" i="35"/>
  <c r="F294" i="35"/>
  <c r="E1191" i="36"/>
  <c r="N1191" i="36" s="1"/>
  <c r="C109" i="37" s="1"/>
  <c r="E1180" i="36"/>
  <c r="N1180" i="36" s="1"/>
  <c r="G4" i="35"/>
  <c r="E904" i="36"/>
  <c r="N904" i="36" s="1"/>
  <c r="E640" i="36"/>
  <c r="N640" i="36" s="1"/>
  <c r="E809" i="36"/>
  <c r="N809" i="36" s="1"/>
  <c r="E369" i="36"/>
  <c r="N369" i="36" s="1"/>
  <c r="E1236" i="36"/>
  <c r="N1236" i="36" s="1"/>
  <c r="E621" i="36"/>
  <c r="N621" i="36" s="1"/>
  <c r="F805" i="36"/>
  <c r="O805" i="36" s="1"/>
  <c r="E619" i="36"/>
  <c r="N619" i="36" s="1"/>
  <c r="E676" i="36"/>
  <c r="N676" i="36" s="1"/>
  <c r="C49" i="37" s="1"/>
  <c r="E662" i="36"/>
  <c r="N662" i="36" s="1"/>
  <c r="E1082" i="36"/>
  <c r="N1082" i="36" s="1"/>
  <c r="F1146" i="36"/>
  <c r="O1146" i="36" s="1"/>
  <c r="F663" i="36"/>
  <c r="O663" i="36" s="1"/>
  <c r="F674" i="36"/>
  <c r="O674" i="36" s="1"/>
  <c r="D47" i="37" s="1"/>
  <c r="E1210" i="36"/>
  <c r="N1210" i="36" s="1"/>
  <c r="E664" i="36"/>
  <c r="N664" i="36" s="1"/>
  <c r="E675" i="36"/>
  <c r="N675" i="36" s="1"/>
  <c r="C48" i="37" s="1"/>
  <c r="E1147" i="36"/>
  <c r="N1147" i="36" s="1"/>
  <c r="E829" i="36"/>
  <c r="N829" i="36" s="1"/>
  <c r="E663" i="36"/>
  <c r="N663" i="36" s="1"/>
  <c r="F673" i="36"/>
  <c r="O673" i="36" s="1"/>
  <c r="D46" i="37" s="1"/>
  <c r="E1071" i="36"/>
  <c r="N1071" i="36" s="1"/>
  <c r="E665" i="36"/>
  <c r="N665" i="36" s="1"/>
  <c r="F662" i="36"/>
  <c r="O662" i="36" s="1"/>
  <c r="E1156" i="36"/>
  <c r="E1091" i="36"/>
  <c r="E1106" i="36"/>
  <c r="E673" i="36"/>
  <c r="N673" i="36" s="1"/>
  <c r="C46" i="37" s="1"/>
  <c r="E345" i="36"/>
  <c r="N345" i="36" s="1"/>
  <c r="E171" i="36"/>
  <c r="N171" i="36" s="1"/>
  <c r="N156" i="36"/>
  <c r="E828" i="36"/>
  <c r="N828" i="36" s="1"/>
  <c r="F1145" i="36"/>
  <c r="O1145" i="36" s="1"/>
  <c r="F46" i="36"/>
  <c r="O46" i="36" s="1"/>
  <c r="E674" i="36"/>
  <c r="N674" i="36" s="1"/>
  <c r="C47" i="37" s="1"/>
  <c r="F1080" i="36"/>
  <c r="O1080" i="36" s="1"/>
  <c r="E168" i="36"/>
  <c r="N168" i="36" s="1"/>
  <c r="E1211" i="36"/>
  <c r="N1211" i="36" s="1"/>
  <c r="N158" i="36"/>
  <c r="F555" i="35"/>
  <c r="F544" i="35"/>
  <c r="F546" i="35"/>
  <c r="F557" i="35"/>
  <c r="F1101" i="36"/>
  <c r="O1101" i="36" s="1"/>
  <c r="N1101" i="36"/>
  <c r="G542" i="35"/>
  <c r="G553" i="35"/>
  <c r="F1096" i="36"/>
  <c r="O1096" i="36" s="1"/>
  <c r="N1096" i="36"/>
  <c r="F1161" i="36"/>
  <c r="O1161" i="36" s="1"/>
  <c r="N1161" i="36"/>
  <c r="C109" i="42"/>
  <c r="C108" i="42"/>
  <c r="D107" i="42"/>
  <c r="E51" i="36"/>
  <c r="N51" i="36" s="1"/>
  <c r="E1070" i="36"/>
  <c r="N1070" i="36" s="1"/>
  <c r="E1149" i="36"/>
  <c r="N1149" i="36" s="1"/>
  <c r="E677" i="36"/>
  <c r="N677" i="36" s="1"/>
  <c r="C50" i="37" s="1"/>
  <c r="E348" i="36"/>
  <c r="N348" i="36" s="1"/>
  <c r="E666" i="36"/>
  <c r="N666" i="36" s="1"/>
  <c r="E1148" i="36"/>
  <c r="N1148" i="36" s="1"/>
  <c r="N178" i="36"/>
  <c r="C2" i="37" s="1"/>
  <c r="E169" i="36"/>
  <c r="N169" i="36" s="1"/>
  <c r="E205" i="36"/>
  <c r="N205" i="36" s="1"/>
  <c r="E1226" i="36"/>
  <c r="N1226" i="36" s="1"/>
  <c r="F201" i="36"/>
  <c r="O201" i="36" s="1"/>
  <c r="F1222" i="36"/>
  <c r="O1222" i="36" s="1"/>
  <c r="E49" i="36"/>
  <c r="N49" i="36" s="1"/>
  <c r="E146" i="36"/>
  <c r="N146" i="36" s="1"/>
  <c r="E346" i="36"/>
  <c r="N346" i="36" s="1"/>
  <c r="N159" i="36"/>
  <c r="E46" i="36"/>
  <c r="N46" i="36" s="1"/>
  <c r="E343" i="36"/>
  <c r="N343" i="36" s="1"/>
  <c r="E1150" i="36"/>
  <c r="N1150" i="36" s="1"/>
  <c r="E1215" i="36"/>
  <c r="N1215" i="36" s="1"/>
  <c r="F1069" i="36"/>
  <c r="O1069" i="36" s="1"/>
  <c r="O838" i="36"/>
  <c r="F827" i="36"/>
  <c r="O827" i="36" s="1"/>
  <c r="I542" i="35"/>
  <c r="F3" i="36" s="1"/>
  <c r="O3" i="36" s="1"/>
  <c r="I553" i="35"/>
  <c r="F14" i="36" s="1"/>
  <c r="O14" i="36" s="1"/>
  <c r="H546" i="35"/>
  <c r="E7" i="36" s="1"/>
  <c r="N7" i="36" s="1"/>
  <c r="H557" i="35"/>
  <c r="E18" i="36" s="1"/>
  <c r="N18" i="36" s="1"/>
  <c r="H544" i="35"/>
  <c r="E5" i="36" s="1"/>
  <c r="N5" i="36" s="1"/>
  <c r="H555" i="35"/>
  <c r="E16" i="36" s="1"/>
  <c r="N16" i="36" s="1"/>
  <c r="H545" i="35"/>
  <c r="E6" i="36" s="1"/>
  <c r="N6" i="36" s="1"/>
  <c r="H556" i="35"/>
  <c r="E17" i="36" s="1"/>
  <c r="N17" i="36" s="1"/>
  <c r="E688" i="36"/>
  <c r="N688" i="36" s="1"/>
  <c r="E710" i="36"/>
  <c r="N710" i="36" s="1"/>
  <c r="E700" i="36"/>
  <c r="N700" i="36" s="1"/>
  <c r="C62" i="37" s="1"/>
  <c r="E711" i="36"/>
  <c r="N711" i="36" s="1"/>
  <c r="E699" i="36"/>
  <c r="N699" i="36" s="1"/>
  <c r="C61" i="37" s="1"/>
  <c r="F377" i="36"/>
  <c r="O377" i="36" s="1"/>
  <c r="E1029" i="36"/>
  <c r="N1029" i="36" s="1"/>
  <c r="E149" i="36"/>
  <c r="N149" i="36" s="1"/>
  <c r="E721" i="36"/>
  <c r="N721" i="36" s="1"/>
  <c r="C72" i="37" s="1"/>
  <c r="E127" i="36"/>
  <c r="N127" i="36" s="1"/>
  <c r="E997" i="36"/>
  <c r="N997" i="36" s="1"/>
  <c r="F366" i="36"/>
  <c r="O366" i="36" s="1"/>
  <c r="E908" i="36"/>
  <c r="N908" i="36" s="1"/>
  <c r="E644" i="36"/>
  <c r="N644" i="36" s="1"/>
  <c r="E820" i="36"/>
  <c r="N820" i="36" s="1"/>
  <c r="E633" i="36"/>
  <c r="N633" i="36" s="1"/>
  <c r="F740" i="36"/>
  <c r="O740" i="36" s="1"/>
  <c r="E392" i="36"/>
  <c r="N392" i="36" s="1"/>
  <c r="E1116" i="36"/>
  <c r="N1116" i="36" s="1"/>
  <c r="E380" i="36"/>
  <c r="N380" i="36" s="1"/>
  <c r="E94" i="36"/>
  <c r="N94" i="36" s="1"/>
  <c r="E689" i="36"/>
  <c r="N689" i="36" s="1"/>
  <c r="E930" i="36"/>
  <c r="N930" i="36" s="1"/>
  <c r="N490" i="36"/>
  <c r="E600" i="36"/>
  <c r="N600" i="36" s="1"/>
  <c r="E358" i="36"/>
  <c r="N358" i="36" s="1"/>
  <c r="E445" i="36"/>
  <c r="N445" i="36" s="1"/>
  <c r="C38" i="37" s="1"/>
  <c r="E744" i="36"/>
  <c r="N744" i="36" s="1"/>
  <c r="E501" i="36"/>
  <c r="N501" i="36" s="1"/>
  <c r="E743" i="36"/>
  <c r="N743" i="36" s="1"/>
  <c r="E370" i="36"/>
  <c r="N370" i="36" s="1"/>
  <c r="E1084" i="36"/>
  <c r="N1084" i="36" s="1"/>
  <c r="E534" i="36"/>
  <c r="N534" i="36" s="1"/>
  <c r="E589" i="36"/>
  <c r="N589" i="36" s="1"/>
  <c r="E567" i="36"/>
  <c r="N567" i="36" s="1"/>
  <c r="E578" i="36"/>
  <c r="N578" i="36" s="1"/>
  <c r="E831" i="36"/>
  <c r="N831" i="36" s="1"/>
  <c r="E314" i="36"/>
  <c r="N314" i="36" s="1"/>
  <c r="E1073" i="36"/>
  <c r="N1073" i="36" s="1"/>
  <c r="E1062" i="36"/>
  <c r="N1062" i="36" s="1"/>
  <c r="E347" i="36"/>
  <c r="N347" i="36" s="1"/>
  <c r="E292" i="36"/>
  <c r="N292" i="36" s="1"/>
  <c r="E413" i="36"/>
  <c r="N413" i="36" s="1"/>
  <c r="E853" i="36"/>
  <c r="N853" i="36" s="1"/>
  <c r="E864" i="36"/>
  <c r="N864" i="36" s="1"/>
  <c r="E799" i="36"/>
  <c r="N799" i="36" s="1"/>
  <c r="E722" i="36"/>
  <c r="N722" i="36" s="1"/>
  <c r="C73" i="37" s="1"/>
  <c r="E73" i="36"/>
  <c r="N73" i="36" s="1"/>
  <c r="E225" i="36"/>
  <c r="N225" i="36" s="1"/>
  <c r="E467" i="36"/>
  <c r="N467" i="36" s="1"/>
  <c r="E456" i="36"/>
  <c r="N456" i="36" s="1"/>
  <c r="E533" i="36"/>
  <c r="N533" i="36" s="1"/>
  <c r="N544" i="36"/>
  <c r="E468" i="36"/>
  <c r="N468" i="36" s="1"/>
  <c r="E457" i="36"/>
  <c r="N457" i="36" s="1"/>
  <c r="E1126" i="36"/>
  <c r="N1126" i="36" s="1"/>
  <c r="E1115" i="36"/>
  <c r="N1115" i="36" s="1"/>
  <c r="E918" i="36"/>
  <c r="N918" i="36" s="1"/>
  <c r="E434" i="36"/>
  <c r="N434" i="36" s="1"/>
  <c r="E566" i="36"/>
  <c r="N566" i="36" s="1"/>
  <c r="E588" i="36"/>
  <c r="N588" i="36" s="1"/>
  <c r="E577" i="36"/>
  <c r="N577" i="36" s="1"/>
  <c r="E170" i="36"/>
  <c r="N170" i="36" s="1"/>
  <c r="N181" i="36"/>
  <c r="C5" i="37" s="1"/>
  <c r="E667" i="36"/>
  <c r="N667" i="36" s="1"/>
  <c r="E678" i="36"/>
  <c r="N678" i="36" s="1"/>
  <c r="C51" i="37" s="1"/>
  <c r="N841" i="36"/>
  <c r="E1072" i="36"/>
  <c r="N1072" i="36" s="1"/>
  <c r="E830" i="36"/>
  <c r="N830" i="36" s="1"/>
  <c r="E357" i="36"/>
  <c r="N357" i="36" s="1"/>
  <c r="E293" i="36"/>
  <c r="N293" i="36" s="1"/>
  <c r="E315" i="36"/>
  <c r="N315" i="36" s="1"/>
  <c r="E975" i="36"/>
  <c r="N975" i="36" s="1"/>
  <c r="E359" i="36"/>
  <c r="N359" i="36" s="1"/>
  <c r="E458" i="36"/>
  <c r="N458" i="36" s="1"/>
  <c r="E469" i="36"/>
  <c r="N469" i="36" s="1"/>
  <c r="E502" i="36"/>
  <c r="N502" i="36" s="1"/>
  <c r="E513" i="36"/>
  <c r="N513" i="36" s="1"/>
  <c r="E645" i="36"/>
  <c r="N645" i="36" s="1"/>
  <c r="E898" i="36"/>
  <c r="N898" i="36" s="1"/>
  <c r="E909" i="36"/>
  <c r="N909" i="36" s="1"/>
  <c r="E634" i="36"/>
  <c r="N634" i="36" s="1"/>
  <c r="E403" i="36"/>
  <c r="N403" i="36" s="1"/>
  <c r="E414" i="36"/>
  <c r="N414" i="36" s="1"/>
  <c r="E1063" i="36"/>
  <c r="N1063" i="36" s="1"/>
  <c r="E777" i="36"/>
  <c r="N777" i="36" s="1"/>
  <c r="E788" i="36"/>
  <c r="N788" i="36" s="1"/>
  <c r="E172" i="36"/>
  <c r="N172" i="36" s="1"/>
  <c r="N183" i="36"/>
  <c r="C7" i="37" s="1"/>
  <c r="E216" i="36"/>
  <c r="N216" i="36" s="1"/>
  <c r="C95" i="37" s="1"/>
  <c r="E128" i="36"/>
  <c r="N128" i="36" s="1"/>
  <c r="E238" i="36"/>
  <c r="N238" i="36" s="1"/>
  <c r="E227" i="36"/>
  <c r="N227" i="36" s="1"/>
  <c r="E447" i="36"/>
  <c r="N447" i="36" s="1"/>
  <c r="C40" i="37" s="1"/>
  <c r="E953" i="36"/>
  <c r="N953" i="36" s="1"/>
  <c r="E854" i="36"/>
  <c r="N854" i="36" s="1"/>
  <c r="E865" i="36"/>
  <c r="N865" i="36" s="1"/>
  <c r="E601" i="36"/>
  <c r="N601" i="36" s="1"/>
  <c r="I67" i="21"/>
  <c r="N67" i="21"/>
  <c r="F591" i="35" s="1"/>
  <c r="S67" i="21"/>
  <c r="F602" i="35" s="1"/>
  <c r="E1117" i="36"/>
  <c r="N1117" i="36" s="1"/>
  <c r="E1128" i="36"/>
  <c r="N1128" i="36" s="1"/>
  <c r="E535" i="36"/>
  <c r="N535" i="36" s="1"/>
  <c r="N546" i="36"/>
  <c r="E1030" i="36"/>
  <c r="N1030" i="36" s="1"/>
  <c r="E1019" i="36"/>
  <c r="N1019" i="36" s="1"/>
  <c r="E810" i="36"/>
  <c r="N810" i="36" s="1"/>
  <c r="E623" i="36"/>
  <c r="N623" i="36" s="1"/>
  <c r="B68" i="21"/>
  <c r="C68" i="21"/>
  <c r="F69" i="21"/>
  <c r="E1052" i="36"/>
  <c r="N1052" i="36" s="1"/>
  <c r="E95" i="36"/>
  <c r="N95" i="36" s="1"/>
  <c r="E590" i="36"/>
  <c r="N590" i="36" s="1"/>
  <c r="E579" i="36"/>
  <c r="N579" i="36" s="1"/>
  <c r="E568" i="36"/>
  <c r="N568" i="36" s="1"/>
  <c r="N491" i="36"/>
  <c r="E821" i="36"/>
  <c r="N821" i="36" s="1"/>
  <c r="E480" i="36"/>
  <c r="N480" i="36" s="1"/>
  <c r="E436" i="36"/>
  <c r="N436" i="36" s="1"/>
  <c r="E920" i="36"/>
  <c r="N920" i="36" s="1"/>
  <c r="E150" i="36"/>
  <c r="N150" i="36" s="1"/>
  <c r="N161" i="36"/>
  <c r="E931" i="36"/>
  <c r="N931" i="36" s="1"/>
  <c r="E964" i="36"/>
  <c r="N964" i="36" s="1"/>
  <c r="N843" i="36"/>
  <c r="E832" i="36"/>
  <c r="N832" i="36" s="1"/>
  <c r="E1074" i="36"/>
  <c r="N1074" i="36" s="1"/>
  <c r="E326" i="36"/>
  <c r="N326" i="36" s="1"/>
  <c r="N337" i="36"/>
  <c r="C29" i="37" s="1"/>
  <c r="T67" i="21"/>
  <c r="H602" i="35" s="1"/>
  <c r="E41" i="36" s="1"/>
  <c r="N41" i="36" s="1"/>
  <c r="J67" i="21"/>
  <c r="H382" i="35"/>
  <c r="E261" i="36" s="1"/>
  <c r="N261" i="36" s="1"/>
  <c r="H338" i="35"/>
  <c r="H294" i="35"/>
  <c r="H481" i="35"/>
  <c r="H272" i="35"/>
  <c r="H470" i="35"/>
  <c r="H306" i="35"/>
  <c r="E1010" i="36" s="1"/>
  <c r="N1010" i="36" s="1"/>
  <c r="H503" i="35"/>
  <c r="H569" i="35"/>
  <c r="H393" i="35"/>
  <c r="H580" i="35"/>
  <c r="E877" i="36" s="1"/>
  <c r="N877" i="36" s="1"/>
  <c r="H184" i="35"/>
  <c r="H30" i="35"/>
  <c r="H514" i="35"/>
  <c r="E426" i="36" s="1"/>
  <c r="N426" i="36" s="1"/>
  <c r="H118" i="35"/>
  <c r="H85" i="35"/>
  <c r="H448" i="35"/>
  <c r="H349" i="35"/>
  <c r="H74" i="35"/>
  <c r="H228" i="35"/>
  <c r="E657" i="36" s="1"/>
  <c r="N657" i="36" s="1"/>
  <c r="H107" i="35"/>
  <c r="H173" i="35"/>
  <c r="H625" i="35"/>
  <c r="H426" i="35"/>
  <c r="H283" i="35"/>
  <c r="O67" i="21"/>
  <c r="H591" i="35" s="1"/>
  <c r="E30" i="36" s="1"/>
  <c r="N30" i="36" s="1"/>
  <c r="H261" i="35"/>
  <c r="E195" i="36" s="1"/>
  <c r="N195" i="36" s="1"/>
  <c r="H316" i="35"/>
  <c r="H151" i="35"/>
  <c r="E272" i="36" s="1"/>
  <c r="N272" i="36" s="1"/>
  <c r="H415" i="35"/>
  <c r="H536" i="35"/>
  <c r="E888" i="36" s="1"/>
  <c r="N888" i="36" s="1"/>
  <c r="H437" i="35"/>
  <c r="H52" i="35"/>
  <c r="H162" i="35"/>
  <c r="H250" i="35"/>
  <c r="E140" i="36" s="1"/>
  <c r="N140" i="36" s="1"/>
  <c r="H41" i="35"/>
  <c r="H459" i="35"/>
  <c r="H404" i="35"/>
  <c r="E613" i="36" s="1"/>
  <c r="N613" i="36" s="1"/>
  <c r="H239" i="35"/>
  <c r="H195" i="35"/>
  <c r="H140" i="35"/>
  <c r="E63" i="36" s="1"/>
  <c r="N63" i="36" s="1"/>
  <c r="H63" i="35"/>
  <c r="E250" i="36" s="1"/>
  <c r="N250" i="36" s="1"/>
  <c r="H8" i="35"/>
  <c r="E1238" i="36" s="1"/>
  <c r="N1238" i="36" s="1"/>
  <c r="H217" i="35"/>
  <c r="E1042" i="36" s="1"/>
  <c r="N1042" i="36" s="1"/>
  <c r="H371" i="35"/>
  <c r="E712" i="36" s="1"/>
  <c r="N712" i="36" s="1"/>
  <c r="H129" i="35"/>
  <c r="E943" i="36" s="1"/>
  <c r="N943" i="36" s="1"/>
  <c r="H327" i="35"/>
  <c r="H19" i="35"/>
  <c r="E525" i="36" s="1"/>
  <c r="N525" i="36" s="1"/>
  <c r="H360" i="35"/>
  <c r="E107" i="36" s="1"/>
  <c r="N107" i="36" s="1"/>
  <c r="H613" i="35"/>
  <c r="E767" i="36" s="1"/>
  <c r="N767" i="36" s="1"/>
  <c r="H96" i="35"/>
  <c r="E756" i="36" s="1"/>
  <c r="N756" i="36" s="1"/>
  <c r="H206" i="35"/>
  <c r="H525" i="35"/>
  <c r="F355" i="36"/>
  <c r="O355" i="36" s="1"/>
  <c r="F916" i="36"/>
  <c r="O916" i="36" s="1"/>
  <c r="F432" i="36"/>
  <c r="O432" i="36" s="1"/>
  <c r="O542" i="36"/>
  <c r="F531" i="36"/>
  <c r="O531" i="36" s="1"/>
  <c r="F1026" i="36"/>
  <c r="O1026" i="36" s="1"/>
  <c r="F1015" i="36"/>
  <c r="O1015" i="36" s="1"/>
  <c r="F828" i="36"/>
  <c r="O828" i="36" s="1"/>
  <c r="O839" i="36"/>
  <c r="F1070" i="36"/>
  <c r="O1070" i="36" s="1"/>
  <c r="F465" i="36"/>
  <c r="O465" i="36" s="1"/>
  <c r="F454" i="36"/>
  <c r="O454" i="36" s="1"/>
  <c r="F1113" i="36"/>
  <c r="O1113" i="36" s="1"/>
  <c r="F1124" i="36"/>
  <c r="O1124" i="36" s="1"/>
  <c r="F223" i="36"/>
  <c r="O223" i="36" s="1"/>
  <c r="F234" i="36"/>
  <c r="O234" i="36" s="1"/>
  <c r="F443" i="36"/>
  <c r="O443" i="36" s="1"/>
  <c r="D36" i="37" s="1"/>
  <c r="F960" i="36"/>
  <c r="O960" i="36" s="1"/>
  <c r="F927" i="36"/>
  <c r="O927" i="36" s="1"/>
  <c r="D64" i="21"/>
  <c r="P63" i="21"/>
  <c r="G587" i="35" s="1"/>
  <c r="K63" i="21"/>
  <c r="U63" i="21"/>
  <c r="G598" i="35" s="1"/>
  <c r="F564" i="36"/>
  <c r="O564" i="36" s="1"/>
  <c r="F586" i="36"/>
  <c r="O586" i="36" s="1"/>
  <c r="F575" i="36"/>
  <c r="O575" i="36" s="1"/>
  <c r="F476" i="36"/>
  <c r="O476" i="36" s="1"/>
  <c r="O487" i="36"/>
  <c r="F817" i="36"/>
  <c r="O817" i="36" s="1"/>
  <c r="F289" i="36"/>
  <c r="O289" i="36" s="1"/>
  <c r="F971" i="36"/>
  <c r="O971" i="36" s="1"/>
  <c r="F311" i="36"/>
  <c r="O311" i="36" s="1"/>
  <c r="F410" i="36"/>
  <c r="O410" i="36" s="1"/>
  <c r="F399" i="36"/>
  <c r="O399" i="36" s="1"/>
  <c r="F1059" i="36"/>
  <c r="O1059" i="36" s="1"/>
  <c r="F344" i="36"/>
  <c r="O344" i="36" s="1"/>
  <c r="F47" i="36"/>
  <c r="O47" i="36" s="1"/>
  <c r="F1081" i="36"/>
  <c r="O1081" i="36" s="1"/>
  <c r="F212" i="36"/>
  <c r="O212" i="36" s="1"/>
  <c r="D91" i="37" s="1"/>
  <c r="F124" i="36"/>
  <c r="O124" i="36" s="1"/>
  <c r="O157" i="36"/>
  <c r="F146" i="36"/>
  <c r="O146" i="36" s="1"/>
  <c r="F509" i="36"/>
  <c r="O509" i="36" s="1"/>
  <c r="F498" i="36"/>
  <c r="O498" i="36" s="1"/>
  <c r="F773" i="36"/>
  <c r="O773" i="36" s="1"/>
  <c r="F784" i="36"/>
  <c r="O784" i="36" s="1"/>
  <c r="O179" i="36"/>
  <c r="D3" i="37" s="1"/>
  <c r="F168" i="36"/>
  <c r="O168" i="36" s="1"/>
  <c r="F113" i="36"/>
  <c r="O113" i="36" s="1"/>
  <c r="F795" i="36"/>
  <c r="O795" i="36" s="1"/>
  <c r="F322" i="36"/>
  <c r="O322" i="36" s="1"/>
  <c r="O333" i="36"/>
  <c r="D25" i="37" s="1"/>
  <c r="F1048" i="36"/>
  <c r="O1048" i="36" s="1"/>
  <c r="F91" i="36"/>
  <c r="O91" i="36" s="1"/>
  <c r="F597" i="36"/>
  <c r="O597" i="36" s="1"/>
  <c r="F619" i="36"/>
  <c r="O619" i="36" s="1"/>
  <c r="F806" i="36"/>
  <c r="O806" i="36" s="1"/>
  <c r="F630" i="36"/>
  <c r="O630" i="36" s="1"/>
  <c r="F894" i="36"/>
  <c r="O894" i="36" s="1"/>
  <c r="F905" i="36"/>
  <c r="O905" i="36" s="1"/>
  <c r="F641" i="36"/>
  <c r="O641" i="36" s="1"/>
  <c r="F949" i="36"/>
  <c r="O949" i="36" s="1"/>
  <c r="F850" i="36"/>
  <c r="O850" i="36" s="1"/>
  <c r="F861" i="36"/>
  <c r="O861" i="36" s="1"/>
  <c r="Q63" i="21"/>
  <c r="I587" i="35" s="1"/>
  <c r="F26" i="36" s="1"/>
  <c r="O26" i="36" s="1"/>
  <c r="E64" i="21"/>
  <c r="L63" i="21"/>
  <c r="V63" i="21"/>
  <c r="I598" i="35" s="1"/>
  <c r="F37" i="36" s="1"/>
  <c r="O37" i="36" s="1"/>
  <c r="I312" i="35"/>
  <c r="I290" i="35"/>
  <c r="I466" i="35"/>
  <c r="I136" i="35"/>
  <c r="F59" i="36" s="1"/>
  <c r="O59" i="36" s="1"/>
  <c r="I103" i="35"/>
  <c r="I180" i="35"/>
  <c r="I114" i="35"/>
  <c r="I26" i="35"/>
  <c r="I565" i="35"/>
  <c r="I400" i="35"/>
  <c r="F609" i="36" s="1"/>
  <c r="O609" i="36" s="1"/>
  <c r="I268" i="35"/>
  <c r="I147" i="35"/>
  <c r="F268" i="36" s="1"/>
  <c r="O268" i="36" s="1"/>
  <c r="I389" i="35"/>
  <c r="I334" i="35"/>
  <c r="I378" i="35"/>
  <c r="F257" i="36" s="1"/>
  <c r="O257" i="36" s="1"/>
  <c r="I81" i="35"/>
  <c r="I576" i="35"/>
  <c r="F873" i="36" s="1"/>
  <c r="O873" i="36" s="1"/>
  <c r="I455" i="35"/>
  <c r="I510" i="35"/>
  <c r="F422" i="36" s="1"/>
  <c r="O422" i="36" s="1"/>
  <c r="I235" i="35"/>
  <c r="I621" i="35"/>
  <c r="I70" i="35"/>
  <c r="I158" i="35"/>
  <c r="I169" i="35"/>
  <c r="I411" i="35"/>
  <c r="I302" i="35"/>
  <c r="F1006" i="36" s="1"/>
  <c r="O1006" i="36" s="1"/>
  <c r="I246" i="35"/>
  <c r="F136" i="36" s="1"/>
  <c r="O136" i="36" s="1"/>
  <c r="I477" i="35"/>
  <c r="I444" i="35"/>
  <c r="I224" i="35"/>
  <c r="F653" i="36" s="1"/>
  <c r="O653" i="36" s="1"/>
  <c r="I499" i="35"/>
  <c r="I676" i="35" s="1"/>
  <c r="I191" i="35"/>
  <c r="I257" i="35"/>
  <c r="F191" i="36" s="1"/>
  <c r="O191" i="36" s="1"/>
  <c r="I422" i="35"/>
  <c r="I532" i="35"/>
  <c r="F884" i="36" s="1"/>
  <c r="O884" i="36" s="1"/>
  <c r="I433" i="35"/>
  <c r="I279" i="35"/>
  <c r="I345" i="35"/>
  <c r="I92" i="35"/>
  <c r="F752" i="36" s="1"/>
  <c r="O752" i="36" s="1"/>
  <c r="I367" i="35"/>
  <c r="F708" i="36" s="1"/>
  <c r="O708" i="36" s="1"/>
  <c r="I48" i="35"/>
  <c r="I125" i="35"/>
  <c r="F939" i="36" s="1"/>
  <c r="O939" i="36" s="1"/>
  <c r="I202" i="35"/>
  <c r="I356" i="35"/>
  <c r="F103" i="36" s="1"/>
  <c r="O103" i="36" s="1"/>
  <c r="I37" i="35"/>
  <c r="I4" i="35"/>
  <c r="F1234" i="36" s="1"/>
  <c r="O1234" i="36" s="1"/>
  <c r="I213" i="35"/>
  <c r="F1038" i="36" s="1"/>
  <c r="O1038" i="36" s="1"/>
  <c r="I59" i="35"/>
  <c r="F246" i="36" s="1"/>
  <c r="O246" i="36" s="1"/>
  <c r="I521" i="35"/>
  <c r="I323" i="35"/>
  <c r="I609" i="35"/>
  <c r="F763" i="36" s="1"/>
  <c r="O763" i="36" s="1"/>
  <c r="I15" i="35"/>
  <c r="F521" i="36" s="1"/>
  <c r="O521" i="36" s="1"/>
  <c r="E556" i="36"/>
  <c r="N556" i="36" s="1"/>
  <c r="C83" i="37" s="1"/>
  <c r="N303" i="36"/>
  <c r="E281" i="36"/>
  <c r="N281" i="36" s="1"/>
  <c r="N300" i="36"/>
  <c r="E553" i="36"/>
  <c r="N553" i="36" s="1"/>
  <c r="C80" i="37" s="1"/>
  <c r="E278" i="36"/>
  <c r="N278" i="36" s="1"/>
  <c r="E277" i="36"/>
  <c r="N277" i="36" s="1"/>
  <c r="N299" i="36"/>
  <c r="E552" i="36"/>
  <c r="N552" i="36" s="1"/>
  <c r="C79" i="37" s="1"/>
  <c r="E279" i="36"/>
  <c r="N279" i="36" s="1"/>
  <c r="N301" i="36"/>
  <c r="E554" i="36"/>
  <c r="N554" i="36" s="1"/>
  <c r="C81" i="37" s="1"/>
  <c r="F278" i="36"/>
  <c r="O278" i="36" s="1"/>
  <c r="F553" i="36"/>
  <c r="O553" i="36" s="1"/>
  <c r="D80" i="37" s="1"/>
  <c r="O300" i="36"/>
  <c r="E557" i="36"/>
  <c r="N557" i="36" s="1"/>
  <c r="C84" i="37" s="1"/>
  <c r="N304" i="36"/>
  <c r="E282" i="36"/>
  <c r="N282" i="36" s="1"/>
  <c r="F277" i="36"/>
  <c r="O277" i="36" s="1"/>
  <c r="F552" i="36"/>
  <c r="O552" i="36" s="1"/>
  <c r="D79" i="37" s="1"/>
  <c r="O299" i="36"/>
  <c r="E280" i="36"/>
  <c r="N280" i="36" s="1"/>
  <c r="N302" i="36"/>
  <c r="E555" i="36"/>
  <c r="N555" i="36" s="1"/>
  <c r="C82" i="37" s="1"/>
  <c r="F554" i="36"/>
  <c r="O554" i="36" s="1"/>
  <c r="D81" i="37" s="1"/>
  <c r="E283" i="36" l="1"/>
  <c r="N283" i="36" s="1"/>
  <c r="H82" i="21"/>
  <c r="I655" i="35"/>
  <c r="I666" i="35"/>
  <c r="F1202" i="36" s="1"/>
  <c r="O1202" i="36" s="1"/>
  <c r="I644" i="35"/>
  <c r="F1169" i="36" s="1"/>
  <c r="O1169" i="36" s="1"/>
  <c r="I633" i="35"/>
  <c r="F1137" i="36" s="1"/>
  <c r="O1137" i="36" s="1"/>
  <c r="E1194" i="36"/>
  <c r="N1194" i="36" s="1"/>
  <c r="C112" i="37" s="1"/>
  <c r="E1183" i="36"/>
  <c r="N1183" i="36" s="1"/>
  <c r="E547" i="36"/>
  <c r="E844" i="36"/>
  <c r="E492" i="36"/>
  <c r="N492" i="36" s="1"/>
  <c r="E338" i="36"/>
  <c r="E305" i="36"/>
  <c r="N305" i="36" s="1"/>
  <c r="E162" i="36"/>
  <c r="E184" i="36"/>
  <c r="G445" i="35"/>
  <c r="G104" i="35"/>
  <c r="G71" i="35"/>
  <c r="G666" i="35"/>
  <c r="G115" i="35"/>
  <c r="G269" i="35"/>
  <c r="G236" i="35"/>
  <c r="G137" i="35"/>
  <c r="G566" i="35"/>
  <c r="G60" i="35"/>
  <c r="G82" i="35"/>
  <c r="G280" i="35"/>
  <c r="G610" i="35"/>
  <c r="G225" i="35"/>
  <c r="G412" i="35"/>
  <c r="G633" i="35"/>
  <c r="G390" i="35"/>
  <c r="G159" i="35"/>
  <c r="G533" i="35"/>
  <c r="G489" i="35"/>
  <c r="G170" i="35"/>
  <c r="G181" i="35"/>
  <c r="G27" i="35"/>
  <c r="G434" i="35"/>
  <c r="G456" i="35"/>
  <c r="G16" i="35"/>
  <c r="G324" i="35"/>
  <c r="G203" i="35"/>
  <c r="G346" i="35"/>
  <c r="G258" i="35"/>
  <c r="G644" i="35"/>
  <c r="G247" i="35"/>
  <c r="G622" i="35"/>
  <c r="G379" i="35"/>
  <c r="G335" i="35"/>
  <c r="G401" i="35"/>
  <c r="G511" i="35"/>
  <c r="G291" i="35"/>
  <c r="G478" i="35"/>
  <c r="G467" i="35"/>
  <c r="G93" i="35"/>
  <c r="G49" i="35"/>
  <c r="G126" i="35"/>
  <c r="G303" i="35"/>
  <c r="G423" i="35"/>
  <c r="G148" i="35"/>
  <c r="G313" i="35"/>
  <c r="G577" i="35"/>
  <c r="G357" i="35"/>
  <c r="G214" i="35"/>
  <c r="G500" i="35"/>
  <c r="G38" i="35"/>
  <c r="G5" i="35"/>
  <c r="G655" i="35"/>
  <c r="G192" i="35"/>
  <c r="G522" i="35"/>
  <c r="G368" i="35"/>
  <c r="G86" i="21"/>
  <c r="H659" i="35"/>
  <c r="H670" i="35"/>
  <c r="E1206" i="36" s="1"/>
  <c r="N1206" i="36" s="1"/>
  <c r="H637" i="35"/>
  <c r="E1141" i="36" s="1"/>
  <c r="N1141" i="36" s="1"/>
  <c r="H648" i="35"/>
  <c r="E1173" i="36" s="1"/>
  <c r="N1173" i="36" s="1"/>
  <c r="F1179" i="36"/>
  <c r="O1179" i="36" s="1"/>
  <c r="F1190" i="36"/>
  <c r="O1190" i="36" s="1"/>
  <c r="D108" i="37" s="1"/>
  <c r="F570" i="35"/>
  <c r="F229" i="35"/>
  <c r="F86" i="35"/>
  <c r="F416" i="35"/>
  <c r="F119" i="35"/>
  <c r="F614" i="35"/>
  <c r="F108" i="35"/>
  <c r="F75" i="35"/>
  <c r="F670" i="35"/>
  <c r="F64" i="35"/>
  <c r="F273" i="35"/>
  <c r="F240" i="35"/>
  <c r="F141" i="35"/>
  <c r="F637" i="35"/>
  <c r="F449" i="35"/>
  <c r="F284" i="35"/>
  <c r="F328" i="35"/>
  <c r="F185" i="35"/>
  <c r="F207" i="35"/>
  <c r="F350" i="35"/>
  <c r="F262" i="35"/>
  <c r="F251" i="35"/>
  <c r="F626" i="35"/>
  <c r="F383" i="35"/>
  <c r="F174" i="35"/>
  <c r="F339" i="35"/>
  <c r="F405" i="35"/>
  <c r="F196" i="35"/>
  <c r="F163" i="35"/>
  <c r="F31" i="35"/>
  <c r="F648" i="35"/>
  <c r="F438" i="35"/>
  <c r="F537" i="35"/>
  <c r="F460" i="35"/>
  <c r="F394" i="35"/>
  <c r="F20" i="35"/>
  <c r="F493" i="35"/>
  <c r="F581" i="35"/>
  <c r="F307" i="35"/>
  <c r="F372" i="35"/>
  <c r="F659" i="35"/>
  <c r="F482" i="35"/>
  <c r="F515" i="35"/>
  <c r="F317" i="35"/>
  <c r="F97" i="35"/>
  <c r="F53" i="35"/>
  <c r="F130" i="35"/>
  <c r="F218" i="35"/>
  <c r="F295" i="35"/>
  <c r="F526" i="35"/>
  <c r="F361" i="35"/>
  <c r="F42" i="35"/>
  <c r="F9" i="35"/>
  <c r="F152" i="35"/>
  <c r="F471" i="35"/>
  <c r="F504" i="35"/>
  <c r="F427" i="35"/>
  <c r="F840" i="36"/>
  <c r="F488" i="36"/>
  <c r="F543" i="36"/>
  <c r="F180" i="36"/>
  <c r="F158" i="36"/>
  <c r="F334" i="36"/>
  <c r="F301" i="36"/>
  <c r="O301" i="36" s="1"/>
  <c r="F1091" i="36"/>
  <c r="N1091" i="36"/>
  <c r="N1156" i="36"/>
  <c r="C101" i="37" s="1"/>
  <c r="F1156" i="36"/>
  <c r="O1156" i="36" s="1"/>
  <c r="D101" i="37" s="1"/>
  <c r="N1106" i="36"/>
  <c r="F1106" i="36"/>
  <c r="O1106" i="36" s="1"/>
  <c r="G543" i="35"/>
  <c r="G554" i="35"/>
  <c r="F558" i="35"/>
  <c r="F547" i="35"/>
  <c r="E109" i="42"/>
  <c r="D109" i="42"/>
  <c r="E206" i="36"/>
  <c r="N206" i="36" s="1"/>
  <c r="E1227" i="36"/>
  <c r="N1227" i="36" s="1"/>
  <c r="F202" i="36"/>
  <c r="O202" i="36" s="1"/>
  <c r="F1223" i="36"/>
  <c r="O1223" i="36" s="1"/>
  <c r="E1151" i="36"/>
  <c r="N1151" i="36" s="1"/>
  <c r="E1216" i="36"/>
  <c r="N1216" i="36" s="1"/>
  <c r="F1147" i="36"/>
  <c r="O1147" i="36" s="1"/>
  <c r="F1212" i="36"/>
  <c r="O1212" i="36" s="1"/>
  <c r="I543" i="35"/>
  <c r="F4" i="36" s="1"/>
  <c r="O4" i="36" s="1"/>
  <c r="I554" i="35"/>
  <c r="F15" i="36" s="1"/>
  <c r="O15" i="36" s="1"/>
  <c r="H558" i="35"/>
  <c r="E19" i="36" s="1"/>
  <c r="N19" i="36" s="1"/>
  <c r="H547" i="35"/>
  <c r="E8" i="36" s="1"/>
  <c r="N8" i="36" s="1"/>
  <c r="E987" i="36"/>
  <c r="N987" i="36" s="1"/>
  <c r="E998" i="36"/>
  <c r="N998" i="36" s="1"/>
  <c r="E85" i="36"/>
  <c r="N85" i="36" s="1"/>
  <c r="C19" i="37" s="1"/>
  <c r="E74" i="36"/>
  <c r="N74" i="36" s="1"/>
  <c r="E360" i="36"/>
  <c r="N360" i="36" s="1"/>
  <c r="E811" i="36"/>
  <c r="N811" i="36" s="1"/>
  <c r="E624" i="36"/>
  <c r="N624" i="36" s="1"/>
  <c r="E228" i="36"/>
  <c r="N228" i="36" s="1"/>
  <c r="E448" i="36"/>
  <c r="N448" i="36" s="1"/>
  <c r="C41" i="37" s="1"/>
  <c r="E239" i="36"/>
  <c r="N239" i="36" s="1"/>
  <c r="E822" i="36"/>
  <c r="N822" i="36" s="1"/>
  <c r="E481" i="36"/>
  <c r="N481" i="36" s="1"/>
  <c r="E789" i="36"/>
  <c r="N789" i="36" s="1"/>
  <c r="E778" i="36"/>
  <c r="N778" i="36" s="1"/>
  <c r="N162" i="36"/>
  <c r="E151" i="36"/>
  <c r="N151" i="36" s="1"/>
  <c r="E316" i="36"/>
  <c r="N316" i="36" s="1"/>
  <c r="E294" i="36"/>
  <c r="N294" i="36" s="1"/>
  <c r="E976" i="36"/>
  <c r="N976" i="36" s="1"/>
  <c r="E734" i="36"/>
  <c r="N734" i="36" s="1"/>
  <c r="E745" i="36"/>
  <c r="N745" i="36" s="1"/>
  <c r="E371" i="36"/>
  <c r="N371" i="36" s="1"/>
  <c r="E52" i="36"/>
  <c r="N52" i="36" s="1"/>
  <c r="E1086" i="36"/>
  <c r="N1086" i="36" s="1"/>
  <c r="E349" i="36"/>
  <c r="N349" i="36" s="1"/>
  <c r="E1118" i="36"/>
  <c r="N1118" i="36" s="1"/>
  <c r="E1129" i="36"/>
  <c r="N1129" i="36" s="1"/>
  <c r="N547" i="36"/>
  <c r="E536" i="36"/>
  <c r="N536" i="36" s="1"/>
  <c r="E932" i="36"/>
  <c r="N932" i="36" s="1"/>
  <c r="E965" i="36"/>
  <c r="N965" i="36" s="1"/>
  <c r="E415" i="36"/>
  <c r="N415" i="36" s="1"/>
  <c r="E1064" i="36"/>
  <c r="N1064" i="36" s="1"/>
  <c r="E404" i="36"/>
  <c r="N404" i="36" s="1"/>
  <c r="F70" i="21"/>
  <c r="C69" i="21"/>
  <c r="B69" i="21"/>
  <c r="E118" i="36"/>
  <c r="N118" i="36" s="1"/>
  <c r="E800" i="36"/>
  <c r="N800" i="36" s="1"/>
  <c r="E96" i="36"/>
  <c r="N96" i="36" s="1"/>
  <c r="E1053" i="36"/>
  <c r="N1053" i="36" s="1"/>
  <c r="E459" i="36"/>
  <c r="N459" i="36" s="1"/>
  <c r="E470" i="36"/>
  <c r="N470" i="36" s="1"/>
  <c r="E921" i="36"/>
  <c r="N921" i="36" s="1"/>
  <c r="E437" i="36"/>
  <c r="N437" i="36" s="1"/>
  <c r="E129" i="36"/>
  <c r="N129" i="36" s="1"/>
  <c r="E217" i="36"/>
  <c r="N217" i="36" s="1"/>
  <c r="C96" i="37" s="1"/>
  <c r="E910" i="36"/>
  <c r="N910" i="36" s="1"/>
  <c r="E635" i="36"/>
  <c r="N635" i="36" s="1"/>
  <c r="E646" i="36"/>
  <c r="N646" i="36" s="1"/>
  <c r="E899" i="36"/>
  <c r="N899" i="36" s="1"/>
  <c r="N844" i="36"/>
  <c r="E1075" i="36"/>
  <c r="N1075" i="36" s="1"/>
  <c r="E833" i="36"/>
  <c r="N833" i="36" s="1"/>
  <c r="J68" i="21"/>
  <c r="T68" i="21"/>
  <c r="H603" i="35" s="1"/>
  <c r="E42" i="36" s="1"/>
  <c r="N42" i="36" s="1"/>
  <c r="H427" i="35"/>
  <c r="H119" i="35"/>
  <c r="H317" i="35"/>
  <c r="H515" i="35"/>
  <c r="E427" i="36" s="1"/>
  <c r="N427" i="36" s="1"/>
  <c r="H537" i="35"/>
  <c r="E889" i="36" s="1"/>
  <c r="N889" i="36" s="1"/>
  <c r="H295" i="35"/>
  <c r="H262" i="35"/>
  <c r="E196" i="36" s="1"/>
  <c r="N196" i="36" s="1"/>
  <c r="H471" i="35"/>
  <c r="H307" i="35"/>
  <c r="E1011" i="36" s="1"/>
  <c r="N1011" i="36" s="1"/>
  <c r="H108" i="35"/>
  <c r="H339" i="35"/>
  <c r="H185" i="35"/>
  <c r="H86" i="35"/>
  <c r="O68" i="21"/>
  <c r="H592" i="35" s="1"/>
  <c r="E31" i="36" s="1"/>
  <c r="N31" i="36" s="1"/>
  <c r="H31" i="35"/>
  <c r="H504" i="35"/>
  <c r="H394" i="35"/>
  <c r="H581" i="35"/>
  <c r="E878" i="36" s="1"/>
  <c r="N878" i="36" s="1"/>
  <c r="H570" i="35"/>
  <c r="H273" i="35"/>
  <c r="H75" i="35"/>
  <c r="H438" i="35"/>
  <c r="H350" i="35"/>
  <c r="H482" i="35"/>
  <c r="H626" i="35"/>
  <c r="H229" i="35"/>
  <c r="E658" i="36" s="1"/>
  <c r="N658" i="36" s="1"/>
  <c r="H174" i="35"/>
  <c r="H383" i="35"/>
  <c r="E262" i="36" s="1"/>
  <c r="N262" i="36" s="1"/>
  <c r="H416" i="35"/>
  <c r="H152" i="35"/>
  <c r="E273" i="36" s="1"/>
  <c r="N273" i="36" s="1"/>
  <c r="H449" i="35"/>
  <c r="H614" i="35"/>
  <c r="E768" i="36" s="1"/>
  <c r="N768" i="36" s="1"/>
  <c r="H405" i="35"/>
  <c r="E614" i="36" s="1"/>
  <c r="N614" i="36" s="1"/>
  <c r="H163" i="35"/>
  <c r="H240" i="35"/>
  <c r="H196" i="35"/>
  <c r="H328" i="35"/>
  <c r="H130" i="35"/>
  <c r="E944" i="36" s="1"/>
  <c r="N944" i="36" s="1"/>
  <c r="H251" i="35"/>
  <c r="E141" i="36" s="1"/>
  <c r="N141" i="36" s="1"/>
  <c r="H141" i="35"/>
  <c r="E64" i="36" s="1"/>
  <c r="N64" i="36" s="1"/>
  <c r="H284" i="35"/>
  <c r="H218" i="35"/>
  <c r="E1043" i="36" s="1"/>
  <c r="N1043" i="36" s="1"/>
  <c r="H9" i="35"/>
  <c r="E1239" i="36" s="1"/>
  <c r="N1239" i="36" s="1"/>
  <c r="H97" i="35"/>
  <c r="E757" i="36" s="1"/>
  <c r="N757" i="36" s="1"/>
  <c r="H64" i="35"/>
  <c r="E251" i="36" s="1"/>
  <c r="N251" i="36" s="1"/>
  <c r="H460" i="35"/>
  <c r="H207" i="35"/>
  <c r="H53" i="35"/>
  <c r="H526" i="35"/>
  <c r="H361" i="35"/>
  <c r="E108" i="36" s="1"/>
  <c r="N108" i="36" s="1"/>
  <c r="H42" i="35"/>
  <c r="H372" i="35"/>
  <c r="E713" i="36" s="1"/>
  <c r="N713" i="36" s="1"/>
  <c r="H20" i="35"/>
  <c r="E526" i="36" s="1"/>
  <c r="N526" i="36" s="1"/>
  <c r="H493" i="35"/>
  <c r="E382" i="36"/>
  <c r="N382" i="36" s="1"/>
  <c r="E393" i="36"/>
  <c r="N393" i="36" s="1"/>
  <c r="E690" i="36"/>
  <c r="N690" i="36" s="1"/>
  <c r="E723" i="36"/>
  <c r="N723" i="36" s="1"/>
  <c r="C74" i="37" s="1"/>
  <c r="E701" i="36"/>
  <c r="N701" i="36" s="1"/>
  <c r="C63" i="37" s="1"/>
  <c r="N338" i="36"/>
  <c r="C30" i="37" s="1"/>
  <c r="E327" i="36"/>
  <c r="N327" i="36" s="1"/>
  <c r="E679" i="36"/>
  <c r="N679" i="36" s="1"/>
  <c r="C52" i="37" s="1"/>
  <c r="E668" i="36"/>
  <c r="N668" i="36" s="1"/>
  <c r="E591" i="36"/>
  <c r="N591" i="36" s="1"/>
  <c r="E580" i="36"/>
  <c r="N580" i="36" s="1"/>
  <c r="E569" i="36"/>
  <c r="N569" i="36" s="1"/>
  <c r="E855" i="36"/>
  <c r="N855" i="36" s="1"/>
  <c r="E866" i="36"/>
  <c r="N866" i="36" s="1"/>
  <c r="E954" i="36"/>
  <c r="N954" i="36" s="1"/>
  <c r="E173" i="36"/>
  <c r="N173" i="36" s="1"/>
  <c r="N184" i="36"/>
  <c r="C8" i="37" s="1"/>
  <c r="E503" i="36"/>
  <c r="N503" i="36" s="1"/>
  <c r="E514" i="36"/>
  <c r="N514" i="36" s="1"/>
  <c r="E1020" i="36"/>
  <c r="N1020" i="36" s="1"/>
  <c r="E1031" i="36"/>
  <c r="N1031" i="36" s="1"/>
  <c r="E602" i="36"/>
  <c r="N602" i="36" s="1"/>
  <c r="N68" i="21"/>
  <c r="F592" i="35" s="1"/>
  <c r="I68" i="21"/>
  <c r="S68" i="21"/>
  <c r="F603" i="35" s="1"/>
  <c r="F686" i="36"/>
  <c r="O686" i="36" s="1"/>
  <c r="F719" i="36"/>
  <c r="O719" i="36" s="1"/>
  <c r="D70" i="37" s="1"/>
  <c r="F697" i="36"/>
  <c r="O697" i="36" s="1"/>
  <c r="D59" i="37" s="1"/>
  <c r="F356" i="36"/>
  <c r="O356" i="36" s="1"/>
  <c r="F972" i="36"/>
  <c r="O972" i="36" s="1"/>
  <c r="F290" i="36"/>
  <c r="O290" i="36" s="1"/>
  <c r="F312" i="36"/>
  <c r="O312" i="36" s="1"/>
  <c r="F466" i="36"/>
  <c r="O466" i="36" s="1"/>
  <c r="F455" i="36"/>
  <c r="O455" i="36" s="1"/>
  <c r="F48" i="36"/>
  <c r="O48" i="36" s="1"/>
  <c r="F1082" i="36"/>
  <c r="O1082" i="36" s="1"/>
  <c r="F345" i="36"/>
  <c r="O345" i="36" s="1"/>
  <c r="F818" i="36"/>
  <c r="O818" i="36" s="1"/>
  <c r="F477" i="36"/>
  <c r="O477" i="36" s="1"/>
  <c r="O488" i="36"/>
  <c r="F510" i="36"/>
  <c r="O510" i="36" s="1"/>
  <c r="F499" i="36"/>
  <c r="O499" i="36" s="1"/>
  <c r="F994" i="36"/>
  <c r="O994" i="36" s="1"/>
  <c r="F983" i="36"/>
  <c r="O983" i="36" s="1"/>
  <c r="O158" i="36"/>
  <c r="F147" i="36"/>
  <c r="O147" i="36" s="1"/>
  <c r="F796" i="36"/>
  <c r="O796" i="36" s="1"/>
  <c r="F114" i="36"/>
  <c r="O114" i="36" s="1"/>
  <c r="F598" i="36"/>
  <c r="O598" i="36" s="1"/>
  <c r="F961" i="36"/>
  <c r="O961" i="36" s="1"/>
  <c r="F928" i="36"/>
  <c r="O928" i="36" s="1"/>
  <c r="F631" i="36"/>
  <c r="O631" i="36" s="1"/>
  <c r="F895" i="36"/>
  <c r="O895" i="36" s="1"/>
  <c r="F642" i="36"/>
  <c r="O642" i="36" s="1"/>
  <c r="F906" i="36"/>
  <c r="O906" i="36" s="1"/>
  <c r="F741" i="36"/>
  <c r="O741" i="36" s="1"/>
  <c r="F730" i="36"/>
  <c r="O730" i="36" s="1"/>
  <c r="F367" i="36"/>
  <c r="O367" i="36" s="1"/>
  <c r="F433" i="36"/>
  <c r="O433" i="36" s="1"/>
  <c r="F917" i="36"/>
  <c r="O917" i="36" s="1"/>
  <c r="F224" i="36"/>
  <c r="O224" i="36" s="1"/>
  <c r="F235" i="36"/>
  <c r="O235" i="36" s="1"/>
  <c r="F444" i="36"/>
  <c r="O444" i="36" s="1"/>
  <c r="D37" i="37" s="1"/>
  <c r="O543" i="36"/>
  <c r="F532" i="36"/>
  <c r="O532" i="36" s="1"/>
  <c r="F323" i="36"/>
  <c r="O323" i="36" s="1"/>
  <c r="O334" i="36"/>
  <c r="D26" i="37" s="1"/>
  <c r="F1071" i="36"/>
  <c r="O1071" i="36" s="1"/>
  <c r="F829" i="36"/>
  <c r="O829" i="36" s="1"/>
  <c r="O840" i="36"/>
  <c r="F774" i="36"/>
  <c r="O774" i="36" s="1"/>
  <c r="F785" i="36"/>
  <c r="O785" i="36" s="1"/>
  <c r="F411" i="36"/>
  <c r="O411" i="36" s="1"/>
  <c r="F400" i="36"/>
  <c r="O400" i="36" s="1"/>
  <c r="F1060" i="36"/>
  <c r="O1060" i="36" s="1"/>
  <c r="Q64" i="21"/>
  <c r="I588" i="35" s="1"/>
  <c r="F27" i="36" s="1"/>
  <c r="O27" i="36" s="1"/>
  <c r="V64" i="21"/>
  <c r="I599" i="35" s="1"/>
  <c r="F38" i="36" s="1"/>
  <c r="O38" i="36" s="1"/>
  <c r="L64" i="21"/>
  <c r="E65" i="21"/>
  <c r="I137" i="35"/>
  <c r="F60" i="36" s="1"/>
  <c r="O60" i="36" s="1"/>
  <c r="I181" i="35"/>
  <c r="I335" i="35"/>
  <c r="I27" i="35"/>
  <c r="I104" i="35"/>
  <c r="I313" i="35"/>
  <c r="I401" i="35"/>
  <c r="F610" i="36" s="1"/>
  <c r="O610" i="36" s="1"/>
  <c r="I258" i="35"/>
  <c r="F192" i="36" s="1"/>
  <c r="O192" i="36" s="1"/>
  <c r="I115" i="35"/>
  <c r="I467" i="35"/>
  <c r="I303" i="35"/>
  <c r="F1007" i="36" s="1"/>
  <c r="O1007" i="36" s="1"/>
  <c r="I456" i="35"/>
  <c r="I511" i="35"/>
  <c r="F423" i="36" s="1"/>
  <c r="O423" i="36" s="1"/>
  <c r="I379" i="35"/>
  <c r="F258" i="36" s="1"/>
  <c r="O258" i="36" s="1"/>
  <c r="I500" i="35"/>
  <c r="I566" i="35"/>
  <c r="I192" i="35"/>
  <c r="I236" i="35"/>
  <c r="I71" i="35"/>
  <c r="I434" i="35"/>
  <c r="I148" i="35"/>
  <c r="F269" i="36" s="1"/>
  <c r="O269" i="36" s="1"/>
  <c r="I445" i="35"/>
  <c r="I225" i="35"/>
  <c r="F654" i="36" s="1"/>
  <c r="O654" i="36" s="1"/>
  <c r="I170" i="35"/>
  <c r="I346" i="35"/>
  <c r="I269" i="35"/>
  <c r="I82" i="35"/>
  <c r="I291" i="35"/>
  <c r="I423" i="35"/>
  <c r="I280" i="35"/>
  <c r="I412" i="35"/>
  <c r="I577" i="35"/>
  <c r="F874" i="36" s="1"/>
  <c r="O874" i="36" s="1"/>
  <c r="I390" i="35"/>
  <c r="I159" i="35"/>
  <c r="I533" i="35"/>
  <c r="F885" i="36" s="1"/>
  <c r="O885" i="36" s="1"/>
  <c r="I247" i="35"/>
  <c r="F137" i="36" s="1"/>
  <c r="O137" i="36" s="1"/>
  <c r="I622" i="35"/>
  <c r="I478" i="35"/>
  <c r="I60" i="35"/>
  <c r="F247" i="36" s="1"/>
  <c r="O247" i="36" s="1"/>
  <c r="I93" i="35"/>
  <c r="F753" i="36" s="1"/>
  <c r="O753" i="36" s="1"/>
  <c r="I5" i="35"/>
  <c r="F1235" i="36" s="1"/>
  <c r="O1235" i="36" s="1"/>
  <c r="I16" i="35"/>
  <c r="F522" i="36" s="1"/>
  <c r="O522" i="36" s="1"/>
  <c r="I357" i="35"/>
  <c r="F104" i="36" s="1"/>
  <c r="O104" i="36" s="1"/>
  <c r="I49" i="35"/>
  <c r="I203" i="35"/>
  <c r="I610" i="35"/>
  <c r="F764" i="36" s="1"/>
  <c r="O764" i="36" s="1"/>
  <c r="I38" i="35"/>
  <c r="I324" i="35"/>
  <c r="I214" i="35"/>
  <c r="F1039" i="36" s="1"/>
  <c r="O1039" i="36" s="1"/>
  <c r="I126" i="35"/>
  <c r="F940" i="36" s="1"/>
  <c r="O940" i="36" s="1"/>
  <c r="I368" i="35"/>
  <c r="F709" i="36" s="1"/>
  <c r="O709" i="36" s="1"/>
  <c r="I522" i="35"/>
  <c r="I489" i="35"/>
  <c r="F378" i="36"/>
  <c r="O378" i="36" s="1"/>
  <c r="F389" i="36"/>
  <c r="O389" i="36" s="1"/>
  <c r="F70" i="36"/>
  <c r="O70" i="36" s="1"/>
  <c r="F81" i="36"/>
  <c r="O81" i="36" s="1"/>
  <c r="D15" i="37" s="1"/>
  <c r="F664" i="36"/>
  <c r="O664" i="36" s="1"/>
  <c r="F675" i="36"/>
  <c r="O675" i="36" s="1"/>
  <c r="D48" i="37" s="1"/>
  <c r="F587" i="36"/>
  <c r="O587" i="36" s="1"/>
  <c r="F565" i="36"/>
  <c r="O565" i="36" s="1"/>
  <c r="F576" i="36"/>
  <c r="O576" i="36" s="1"/>
  <c r="O180" i="36"/>
  <c r="D4" i="37" s="1"/>
  <c r="F169" i="36"/>
  <c r="O169" i="36" s="1"/>
  <c r="F1049" i="36"/>
  <c r="O1049" i="36" s="1"/>
  <c r="F92" i="36"/>
  <c r="O92" i="36" s="1"/>
  <c r="F1114" i="36"/>
  <c r="O1114" i="36" s="1"/>
  <c r="F1125" i="36"/>
  <c r="O1125" i="36" s="1"/>
  <c r="F125" i="36"/>
  <c r="O125" i="36" s="1"/>
  <c r="F213" i="36"/>
  <c r="O213" i="36" s="1"/>
  <c r="D92" i="37" s="1"/>
  <c r="F1027" i="36"/>
  <c r="O1027" i="36" s="1"/>
  <c r="F1016" i="36"/>
  <c r="O1016" i="36" s="1"/>
  <c r="F862" i="36"/>
  <c r="O862" i="36" s="1"/>
  <c r="F950" i="36"/>
  <c r="O950" i="36" s="1"/>
  <c r="F851" i="36"/>
  <c r="O851" i="36" s="1"/>
  <c r="F807" i="36"/>
  <c r="O807" i="36" s="1"/>
  <c r="F620" i="36"/>
  <c r="O620" i="36" s="1"/>
  <c r="D65" i="21"/>
  <c r="P64" i="21"/>
  <c r="G588" i="35" s="1"/>
  <c r="K64" i="21"/>
  <c r="U64" i="21"/>
  <c r="G599" i="35" s="1"/>
  <c r="H83" i="21" l="1"/>
  <c r="I656" i="35"/>
  <c r="I667" i="35"/>
  <c r="F1203" i="36" s="1"/>
  <c r="O1203" i="36" s="1"/>
  <c r="I645" i="35"/>
  <c r="F1170" i="36" s="1"/>
  <c r="O1170" i="36" s="1"/>
  <c r="I634" i="35"/>
  <c r="F1138" i="36" s="1"/>
  <c r="O1138" i="36" s="1"/>
  <c r="E1184" i="36"/>
  <c r="N1184" i="36" s="1"/>
  <c r="E1195" i="36"/>
  <c r="N1195" i="36" s="1"/>
  <c r="C113" i="37" s="1"/>
  <c r="F120" i="35"/>
  <c r="F450" i="35"/>
  <c r="F219" i="35"/>
  <c r="F285" i="35"/>
  <c r="F109" i="35"/>
  <c r="F76" i="35"/>
  <c r="F329" i="35"/>
  <c r="F230" i="35"/>
  <c r="F65" i="35"/>
  <c r="F274" i="35"/>
  <c r="F87" i="35"/>
  <c r="F142" i="35"/>
  <c r="F571" i="35"/>
  <c r="F615" i="35"/>
  <c r="F671" i="35"/>
  <c r="F241" i="35"/>
  <c r="F417" i="35"/>
  <c r="F638" i="35"/>
  <c r="F208" i="35"/>
  <c r="F32" i="35"/>
  <c r="F164" i="35"/>
  <c r="F252" i="35"/>
  <c r="F494" i="35"/>
  <c r="F406" i="35"/>
  <c r="F351" i="35"/>
  <c r="F263" i="35"/>
  <c r="F21" i="35"/>
  <c r="F439" i="35"/>
  <c r="F461" i="35"/>
  <c r="F175" i="35"/>
  <c r="F395" i="35"/>
  <c r="F186" i="35"/>
  <c r="F649" i="35"/>
  <c r="F627" i="35"/>
  <c r="F384" i="35"/>
  <c r="F340" i="35"/>
  <c r="F153" i="35"/>
  <c r="F197" i="35"/>
  <c r="F538" i="35"/>
  <c r="F472" i="35"/>
  <c r="F582" i="35"/>
  <c r="F131" i="35"/>
  <c r="F308" i="35"/>
  <c r="F428" i="35"/>
  <c r="F527" i="35"/>
  <c r="F54" i="35"/>
  <c r="F362" i="35"/>
  <c r="F373" i="35"/>
  <c r="F43" i="35"/>
  <c r="F10" i="35"/>
  <c r="F660" i="35"/>
  <c r="F516" i="35"/>
  <c r="F296" i="35"/>
  <c r="F483" i="35"/>
  <c r="F505" i="35"/>
  <c r="F318" i="35"/>
  <c r="F98" i="35"/>
  <c r="E845" i="36"/>
  <c r="E493" i="36"/>
  <c r="E548" i="36"/>
  <c r="N548" i="36" s="1"/>
  <c r="E339" i="36"/>
  <c r="E306" i="36"/>
  <c r="E185" i="36"/>
  <c r="E163" i="36"/>
  <c r="N163" i="36" s="1"/>
  <c r="F1180" i="36"/>
  <c r="O1180" i="36" s="1"/>
  <c r="F1191" i="36"/>
  <c r="O1191" i="36" s="1"/>
  <c r="D109" i="37" s="1"/>
  <c r="G567" i="35"/>
  <c r="G446" i="35"/>
  <c r="G281" i="35"/>
  <c r="G611" i="35"/>
  <c r="G105" i="35"/>
  <c r="G138" i="35"/>
  <c r="G325" i="35"/>
  <c r="G391" i="35"/>
  <c r="G667" i="35"/>
  <c r="G61" i="35"/>
  <c r="G270" i="35"/>
  <c r="G83" i="35"/>
  <c r="G237" i="35"/>
  <c r="G413" i="35"/>
  <c r="G72" i="35"/>
  <c r="G226" i="35"/>
  <c r="G116" i="35"/>
  <c r="G634" i="35"/>
  <c r="G182" i="35"/>
  <c r="G160" i="35"/>
  <c r="G490" i="35"/>
  <c r="G380" i="35"/>
  <c r="G347" i="35"/>
  <c r="G259" i="35"/>
  <c r="G645" i="35"/>
  <c r="G17" i="35"/>
  <c r="G171" i="35"/>
  <c r="G623" i="35"/>
  <c r="G402" i="35"/>
  <c r="G193" i="35"/>
  <c r="G204" i="35"/>
  <c r="G28" i="35"/>
  <c r="G435" i="35"/>
  <c r="G248" i="35"/>
  <c r="G534" i="35"/>
  <c r="G336" i="35"/>
  <c r="G457" i="35"/>
  <c r="G656" i="35"/>
  <c r="G479" i="35"/>
  <c r="G314" i="35"/>
  <c r="G468" i="35"/>
  <c r="G501" i="35"/>
  <c r="G424" i="35"/>
  <c r="G6" i="35"/>
  <c r="G512" i="35"/>
  <c r="G358" i="35"/>
  <c r="G369" i="35"/>
  <c r="G39" i="35"/>
  <c r="G215" i="35"/>
  <c r="G94" i="35"/>
  <c r="G578" i="35"/>
  <c r="G50" i="35"/>
  <c r="G127" i="35"/>
  <c r="G149" i="35"/>
  <c r="G292" i="35"/>
  <c r="G523" i="35"/>
  <c r="G304" i="35"/>
  <c r="G87" i="21"/>
  <c r="H671" i="35"/>
  <c r="E1207" i="36" s="1"/>
  <c r="N1207" i="36" s="1"/>
  <c r="H660" i="35"/>
  <c r="H649" i="35"/>
  <c r="E1174" i="36" s="1"/>
  <c r="N1174" i="36" s="1"/>
  <c r="H638" i="35"/>
  <c r="E1142" i="36" s="1"/>
  <c r="N1142" i="36" s="1"/>
  <c r="F544" i="36"/>
  <c r="F841" i="36"/>
  <c r="F489" i="36"/>
  <c r="F335" i="36"/>
  <c r="O335" i="36" s="1"/>
  <c r="D27" i="37" s="1"/>
  <c r="F302" i="36"/>
  <c r="F159" i="36"/>
  <c r="F181" i="36"/>
  <c r="O181" i="36" s="1"/>
  <c r="D5" i="37" s="1"/>
  <c r="O1091" i="36"/>
  <c r="F1092" i="36"/>
  <c r="G544" i="35"/>
  <c r="G555" i="35"/>
  <c r="F559" i="35"/>
  <c r="F548" i="35"/>
  <c r="F203" i="36"/>
  <c r="O203" i="36" s="1"/>
  <c r="F1224" i="36"/>
  <c r="O1224" i="36" s="1"/>
  <c r="E207" i="36"/>
  <c r="N207" i="36" s="1"/>
  <c r="E1228" i="36"/>
  <c r="N1228" i="36" s="1"/>
  <c r="E1152" i="36"/>
  <c r="N1152" i="36" s="1"/>
  <c r="E1217" i="36"/>
  <c r="N1217" i="36" s="1"/>
  <c r="F1148" i="36"/>
  <c r="O1148" i="36" s="1"/>
  <c r="F1213" i="36"/>
  <c r="O1213" i="36" s="1"/>
  <c r="I544" i="35"/>
  <c r="F5" i="36" s="1"/>
  <c r="O5" i="36" s="1"/>
  <c r="I555" i="35"/>
  <c r="F16" i="36" s="1"/>
  <c r="O16" i="36" s="1"/>
  <c r="H548" i="35"/>
  <c r="E9" i="36" s="1"/>
  <c r="N9" i="36" s="1"/>
  <c r="H559" i="35"/>
  <c r="E20" i="36" s="1"/>
  <c r="N20" i="36" s="1"/>
  <c r="N339" i="36"/>
  <c r="C31" i="37" s="1"/>
  <c r="E328" i="36"/>
  <c r="N328" i="36" s="1"/>
  <c r="E361" i="36"/>
  <c r="N361" i="36" s="1"/>
  <c r="E405" i="36"/>
  <c r="N405" i="36" s="1"/>
  <c r="E1065" i="36"/>
  <c r="N1065" i="36" s="1"/>
  <c r="E416" i="36"/>
  <c r="N416" i="36" s="1"/>
  <c r="E592" i="36"/>
  <c r="N592" i="36" s="1"/>
  <c r="E581" i="36"/>
  <c r="N581" i="36" s="1"/>
  <c r="E570" i="36"/>
  <c r="N570" i="36" s="1"/>
  <c r="E746" i="36"/>
  <c r="N746" i="36" s="1"/>
  <c r="E735" i="36"/>
  <c r="N735" i="36" s="1"/>
  <c r="E97" i="36"/>
  <c r="N97" i="36" s="1"/>
  <c r="E1054" i="36"/>
  <c r="N1054" i="36" s="1"/>
  <c r="E537" i="36"/>
  <c r="N537" i="36" s="1"/>
  <c r="E482" i="36"/>
  <c r="N482" i="36" s="1"/>
  <c r="N493" i="36"/>
  <c r="E823" i="36"/>
  <c r="N823" i="36" s="1"/>
  <c r="E240" i="36"/>
  <c r="N240" i="36" s="1"/>
  <c r="E229" i="36"/>
  <c r="N229" i="36" s="1"/>
  <c r="E449" i="36"/>
  <c r="N449" i="36" s="1"/>
  <c r="C42" i="37" s="1"/>
  <c r="E691" i="36"/>
  <c r="N691" i="36" s="1"/>
  <c r="E724" i="36"/>
  <c r="N724" i="36" s="1"/>
  <c r="C75" i="37" s="1"/>
  <c r="E702" i="36"/>
  <c r="N702" i="36" s="1"/>
  <c r="C64" i="37" s="1"/>
  <c r="E680" i="36"/>
  <c r="N680" i="36" s="1"/>
  <c r="C53" i="37" s="1"/>
  <c r="E669" i="36"/>
  <c r="N669" i="36" s="1"/>
  <c r="E317" i="36"/>
  <c r="N317" i="36" s="1"/>
  <c r="E977" i="36"/>
  <c r="N977" i="36" s="1"/>
  <c r="E295" i="36"/>
  <c r="N295" i="36" s="1"/>
  <c r="E603" i="36"/>
  <c r="N603" i="36" s="1"/>
  <c r="E152" i="36"/>
  <c r="N152" i="36" s="1"/>
  <c r="E790" i="36"/>
  <c r="N790" i="36" s="1"/>
  <c r="E779" i="36"/>
  <c r="N779" i="36" s="1"/>
  <c r="E911" i="36"/>
  <c r="N911" i="36" s="1"/>
  <c r="E900" i="36"/>
  <c r="N900" i="36" s="1"/>
  <c r="E647" i="36"/>
  <c r="N647" i="36" s="1"/>
  <c r="E636" i="36"/>
  <c r="N636" i="36" s="1"/>
  <c r="J69" i="21"/>
  <c r="O69" i="21"/>
  <c r="H593" i="35" s="1"/>
  <c r="E32" i="36" s="1"/>
  <c r="N32" i="36" s="1"/>
  <c r="H186" i="35"/>
  <c r="H340" i="35"/>
  <c r="H505" i="35"/>
  <c r="H571" i="35"/>
  <c r="H384" i="35"/>
  <c r="E263" i="36" s="1"/>
  <c r="N263" i="36" s="1"/>
  <c r="H472" i="35"/>
  <c r="H230" i="35"/>
  <c r="E659" i="36" s="1"/>
  <c r="N659" i="36" s="1"/>
  <c r="H582" i="35"/>
  <c r="E879" i="36" s="1"/>
  <c r="N879" i="36" s="1"/>
  <c r="T69" i="21"/>
  <c r="H604" i="35" s="1"/>
  <c r="E43" i="36" s="1"/>
  <c r="N43" i="36" s="1"/>
  <c r="H308" i="35"/>
  <c r="E1012" i="36" s="1"/>
  <c r="N1012" i="36" s="1"/>
  <c r="H32" i="35"/>
  <c r="H516" i="35"/>
  <c r="E428" i="36" s="1"/>
  <c r="N428" i="36" s="1"/>
  <c r="H274" i="35"/>
  <c r="H241" i="35"/>
  <c r="H428" i="35"/>
  <c r="H450" i="35"/>
  <c r="H461" i="35"/>
  <c r="H263" i="35"/>
  <c r="E197" i="36" s="1"/>
  <c r="N197" i="36" s="1"/>
  <c r="H483" i="35"/>
  <c r="H351" i="35"/>
  <c r="H120" i="35"/>
  <c r="H109" i="35"/>
  <c r="H538" i="35"/>
  <c r="E890" i="36" s="1"/>
  <c r="N890" i="36" s="1"/>
  <c r="H627" i="35"/>
  <c r="H285" i="35"/>
  <c r="H87" i="35"/>
  <c r="H395" i="35"/>
  <c r="H417" i="35"/>
  <c r="H175" i="35"/>
  <c r="H296" i="35"/>
  <c r="H76" i="35"/>
  <c r="H439" i="35"/>
  <c r="H153" i="35"/>
  <c r="E274" i="36" s="1"/>
  <c r="N274" i="36" s="1"/>
  <c r="H197" i="35"/>
  <c r="H252" i="35"/>
  <c r="E142" i="36" s="1"/>
  <c r="N142" i="36" s="1"/>
  <c r="H406" i="35"/>
  <c r="E615" i="36" s="1"/>
  <c r="N615" i="36" s="1"/>
  <c r="H219" i="35"/>
  <c r="E1044" i="36" s="1"/>
  <c r="N1044" i="36" s="1"/>
  <c r="H65" i="35"/>
  <c r="E252" i="36" s="1"/>
  <c r="N252" i="36" s="1"/>
  <c r="H142" i="35"/>
  <c r="E65" i="36" s="1"/>
  <c r="N65" i="36" s="1"/>
  <c r="H318" i="35"/>
  <c r="H164" i="35"/>
  <c r="H54" i="35"/>
  <c r="H615" i="35"/>
  <c r="E769" i="36" s="1"/>
  <c r="N769" i="36" s="1"/>
  <c r="H329" i="35"/>
  <c r="H373" i="35"/>
  <c r="E714" i="36" s="1"/>
  <c r="N714" i="36" s="1"/>
  <c r="H10" i="35"/>
  <c r="E1240" i="36" s="1"/>
  <c r="N1240" i="36" s="1"/>
  <c r="H208" i="35"/>
  <c r="H362" i="35"/>
  <c r="E109" i="36" s="1"/>
  <c r="N109" i="36" s="1"/>
  <c r="H527" i="35"/>
  <c r="H43" i="35"/>
  <c r="H98" i="35"/>
  <c r="E758" i="36" s="1"/>
  <c r="N758" i="36" s="1"/>
  <c r="H21" i="35"/>
  <c r="E527" i="36" s="1"/>
  <c r="N527" i="36" s="1"/>
  <c r="H131" i="35"/>
  <c r="E945" i="36" s="1"/>
  <c r="N945" i="36" s="1"/>
  <c r="H494" i="35"/>
  <c r="N306" i="36"/>
  <c r="E559" i="36"/>
  <c r="N559" i="36" s="1"/>
  <c r="C86" i="37" s="1"/>
  <c r="E284" i="36"/>
  <c r="N284" i="36" s="1"/>
  <c r="E119" i="36"/>
  <c r="N119" i="36" s="1"/>
  <c r="E801" i="36"/>
  <c r="N801" i="36" s="1"/>
  <c r="E856" i="36"/>
  <c r="N856" i="36" s="1"/>
  <c r="E867" i="36"/>
  <c r="N867" i="36" s="1"/>
  <c r="E955" i="36"/>
  <c r="N955" i="36" s="1"/>
  <c r="E966" i="36"/>
  <c r="N966" i="36" s="1"/>
  <c r="E933" i="36"/>
  <c r="N933" i="36" s="1"/>
  <c r="E394" i="36"/>
  <c r="N394" i="36" s="1"/>
  <c r="E383" i="36"/>
  <c r="N383" i="36" s="1"/>
  <c r="E1119" i="36"/>
  <c r="N1119" i="36" s="1"/>
  <c r="E1130" i="36"/>
  <c r="N1130" i="36" s="1"/>
  <c r="E218" i="36"/>
  <c r="N218" i="36" s="1"/>
  <c r="C97" i="37" s="1"/>
  <c r="E130" i="36"/>
  <c r="N130" i="36" s="1"/>
  <c r="I69" i="21"/>
  <c r="S69" i="21"/>
  <c r="F604" i="35" s="1"/>
  <c r="N69" i="21"/>
  <c r="F593" i="35" s="1"/>
  <c r="E75" i="36"/>
  <c r="N75" i="36" s="1"/>
  <c r="E86" i="36"/>
  <c r="N86" i="36" s="1"/>
  <c r="C20" i="37" s="1"/>
  <c r="E988" i="36"/>
  <c r="N988" i="36" s="1"/>
  <c r="E999" i="36"/>
  <c r="N999" i="36" s="1"/>
  <c r="E372" i="36"/>
  <c r="N372" i="36" s="1"/>
  <c r="E1087" i="36"/>
  <c r="N1087" i="36" s="1"/>
  <c r="E350" i="36"/>
  <c r="N350" i="36" s="1"/>
  <c r="E53" i="36"/>
  <c r="N53" i="36" s="1"/>
  <c r="E174" i="36"/>
  <c r="N174" i="36" s="1"/>
  <c r="N185" i="36"/>
  <c r="C9" i="37" s="1"/>
  <c r="E471" i="36"/>
  <c r="N471" i="36" s="1"/>
  <c r="E460" i="36"/>
  <c r="N460" i="36" s="1"/>
  <c r="E438" i="36"/>
  <c r="N438" i="36" s="1"/>
  <c r="E922" i="36"/>
  <c r="N922" i="36" s="1"/>
  <c r="E1021" i="36"/>
  <c r="N1021" i="36" s="1"/>
  <c r="E1032" i="36"/>
  <c r="N1032" i="36" s="1"/>
  <c r="E504" i="36"/>
  <c r="N504" i="36" s="1"/>
  <c r="E515" i="36"/>
  <c r="N515" i="36" s="1"/>
  <c r="N845" i="36"/>
  <c r="E1076" i="36"/>
  <c r="N1076" i="36" s="1"/>
  <c r="E834" i="36"/>
  <c r="N834" i="36" s="1"/>
  <c r="E625" i="36"/>
  <c r="N625" i="36" s="1"/>
  <c r="E812" i="36"/>
  <c r="N812" i="36" s="1"/>
  <c r="B70" i="21"/>
  <c r="F71" i="21"/>
  <c r="C70" i="21"/>
  <c r="F280" i="36"/>
  <c r="O280" i="36" s="1"/>
  <c r="F555" i="36"/>
  <c r="O555" i="36" s="1"/>
  <c r="D82" i="37" s="1"/>
  <c r="O302" i="36"/>
  <c r="F995" i="36"/>
  <c r="O995" i="36" s="1"/>
  <c r="F984" i="36"/>
  <c r="O984" i="36" s="1"/>
  <c r="F368" i="36"/>
  <c r="O368" i="36" s="1"/>
  <c r="F1115" i="36"/>
  <c r="O1115" i="36" s="1"/>
  <c r="F1126" i="36"/>
  <c r="O1126" i="36" s="1"/>
  <c r="F214" i="36"/>
  <c r="O214" i="36" s="1"/>
  <c r="D93" i="37" s="1"/>
  <c r="F126" i="36"/>
  <c r="O126" i="36" s="1"/>
  <c r="F445" i="36"/>
  <c r="O445" i="36" s="1"/>
  <c r="D38" i="37" s="1"/>
  <c r="F236" i="36"/>
  <c r="O236" i="36" s="1"/>
  <c r="F225" i="36"/>
  <c r="O225" i="36" s="1"/>
  <c r="F434" i="36"/>
  <c r="O434" i="36" s="1"/>
  <c r="F918" i="36"/>
  <c r="O918" i="36" s="1"/>
  <c r="F929" i="36"/>
  <c r="O929" i="36" s="1"/>
  <c r="F962" i="36"/>
  <c r="O962" i="36" s="1"/>
  <c r="F852" i="36"/>
  <c r="O852" i="36" s="1"/>
  <c r="F863" i="36"/>
  <c r="O863" i="36" s="1"/>
  <c r="F951" i="36"/>
  <c r="O951" i="36" s="1"/>
  <c r="F390" i="36"/>
  <c r="O390" i="36" s="1"/>
  <c r="F379" i="36"/>
  <c r="O379" i="36" s="1"/>
  <c r="F731" i="36"/>
  <c r="O731" i="36" s="1"/>
  <c r="F742" i="36"/>
  <c r="O742" i="36" s="1"/>
  <c r="F665" i="36"/>
  <c r="O665" i="36" s="1"/>
  <c r="F676" i="36"/>
  <c r="O676" i="36" s="1"/>
  <c r="D49" i="37" s="1"/>
  <c r="F1061" i="36"/>
  <c r="O1061" i="36" s="1"/>
  <c r="F401" i="36"/>
  <c r="O401" i="36" s="1"/>
  <c r="F412" i="36"/>
  <c r="O412" i="36" s="1"/>
  <c r="F456" i="36"/>
  <c r="O456" i="36" s="1"/>
  <c r="F467" i="36"/>
  <c r="O467" i="36" s="1"/>
  <c r="F357" i="36"/>
  <c r="O357" i="36" s="1"/>
  <c r="F1028" i="36"/>
  <c r="O1028" i="36" s="1"/>
  <c r="F1017" i="36"/>
  <c r="O1017" i="36" s="1"/>
  <c r="F324" i="36"/>
  <c r="O324" i="36" s="1"/>
  <c r="F500" i="36"/>
  <c r="O500" i="36" s="1"/>
  <c r="F511" i="36"/>
  <c r="O511" i="36" s="1"/>
  <c r="V65" i="21"/>
  <c r="I600" i="35" s="1"/>
  <c r="F39" i="36" s="1"/>
  <c r="O39" i="36" s="1"/>
  <c r="Q65" i="21"/>
  <c r="I589" i="35" s="1"/>
  <c r="F28" i="36" s="1"/>
  <c r="O28" i="36" s="1"/>
  <c r="E66" i="21"/>
  <c r="L65" i="21"/>
  <c r="I171" i="35"/>
  <c r="I138" i="35"/>
  <c r="F61" i="36" s="1"/>
  <c r="O61" i="36" s="1"/>
  <c r="I28" i="35"/>
  <c r="I336" i="35"/>
  <c r="I259" i="35"/>
  <c r="F193" i="36" s="1"/>
  <c r="O193" i="36" s="1"/>
  <c r="I105" i="35"/>
  <c r="I83" i="35"/>
  <c r="I116" i="35"/>
  <c r="I402" i="35"/>
  <c r="F611" i="36" s="1"/>
  <c r="O611" i="36" s="1"/>
  <c r="I501" i="35"/>
  <c r="I182" i="35"/>
  <c r="I457" i="35"/>
  <c r="I567" i="35"/>
  <c r="I304" i="35"/>
  <c r="F1008" i="36" s="1"/>
  <c r="O1008" i="36" s="1"/>
  <c r="I468" i="35"/>
  <c r="I512" i="35"/>
  <c r="F424" i="36" s="1"/>
  <c r="O424" i="36" s="1"/>
  <c r="I226" i="35"/>
  <c r="F655" i="36" s="1"/>
  <c r="O655" i="36" s="1"/>
  <c r="I380" i="35"/>
  <c r="F259" i="36" s="1"/>
  <c r="O259" i="36" s="1"/>
  <c r="I193" i="35"/>
  <c r="I534" i="35"/>
  <c r="F886" i="36" s="1"/>
  <c r="O886" i="36" s="1"/>
  <c r="I435" i="35"/>
  <c r="I149" i="35"/>
  <c r="F270" i="36" s="1"/>
  <c r="O270" i="36" s="1"/>
  <c r="I347" i="35"/>
  <c r="I314" i="35"/>
  <c r="I479" i="35"/>
  <c r="I281" i="35"/>
  <c r="I578" i="35"/>
  <c r="F875" i="36" s="1"/>
  <c r="O875" i="36" s="1"/>
  <c r="I270" i="35"/>
  <c r="I248" i="35"/>
  <c r="F138" i="36" s="1"/>
  <c r="O138" i="36" s="1"/>
  <c r="I391" i="35"/>
  <c r="I72" i="35"/>
  <c r="I446" i="35"/>
  <c r="I160" i="35"/>
  <c r="I292" i="35"/>
  <c r="I424" i="35"/>
  <c r="I237" i="35"/>
  <c r="I413" i="35"/>
  <c r="I623" i="35"/>
  <c r="I369" i="35"/>
  <c r="F710" i="36" s="1"/>
  <c r="O710" i="36" s="1"/>
  <c r="I50" i="35"/>
  <c r="I61" i="35"/>
  <c r="F248" i="36" s="1"/>
  <c r="O248" i="36" s="1"/>
  <c r="I611" i="35"/>
  <c r="F765" i="36" s="1"/>
  <c r="O765" i="36" s="1"/>
  <c r="I94" i="35"/>
  <c r="F754" i="36" s="1"/>
  <c r="O754" i="36" s="1"/>
  <c r="I215" i="35"/>
  <c r="F1040" i="36" s="1"/>
  <c r="O1040" i="36" s="1"/>
  <c r="I39" i="35"/>
  <c r="I127" i="35"/>
  <c r="F941" i="36" s="1"/>
  <c r="O941" i="36" s="1"/>
  <c r="I204" i="35"/>
  <c r="I6" i="35"/>
  <c r="F1236" i="36" s="1"/>
  <c r="O1236" i="36" s="1"/>
  <c r="I17" i="35"/>
  <c r="F523" i="36" s="1"/>
  <c r="O523" i="36" s="1"/>
  <c r="I325" i="35"/>
  <c r="I523" i="35"/>
  <c r="I358" i="35"/>
  <c r="F105" i="36" s="1"/>
  <c r="O105" i="36" s="1"/>
  <c r="I490" i="35"/>
  <c r="F687" i="36"/>
  <c r="O687" i="36" s="1"/>
  <c r="F698" i="36"/>
  <c r="O698" i="36" s="1"/>
  <c r="D60" i="37" s="1"/>
  <c r="F720" i="36"/>
  <c r="O720" i="36" s="1"/>
  <c r="D71" i="37" s="1"/>
  <c r="F82" i="36"/>
  <c r="O82" i="36" s="1"/>
  <c r="D16" i="37" s="1"/>
  <c r="F71" i="36"/>
  <c r="O71" i="36" s="1"/>
  <c r="F93" i="36"/>
  <c r="O93" i="36" s="1"/>
  <c r="F1050" i="36"/>
  <c r="O1050" i="36" s="1"/>
  <c r="O489" i="36"/>
  <c r="F478" i="36"/>
  <c r="O478" i="36" s="1"/>
  <c r="F819" i="36"/>
  <c r="O819" i="36" s="1"/>
  <c r="F533" i="36"/>
  <c r="O533" i="36" s="1"/>
  <c r="O544" i="36"/>
  <c r="O159" i="36"/>
  <c r="F148" i="36"/>
  <c r="O148" i="36" s="1"/>
  <c r="F830" i="36"/>
  <c r="O830" i="36" s="1"/>
  <c r="O841" i="36"/>
  <c r="F1072" i="36"/>
  <c r="O1072" i="36" s="1"/>
  <c r="P65" i="21"/>
  <c r="G589" i="35" s="1"/>
  <c r="K65" i="21"/>
  <c r="U65" i="21"/>
  <c r="G600" i="35" s="1"/>
  <c r="D66" i="21"/>
  <c r="F313" i="36"/>
  <c r="O313" i="36" s="1"/>
  <c r="F291" i="36"/>
  <c r="O291" i="36" s="1"/>
  <c r="F973" i="36"/>
  <c r="O973" i="36" s="1"/>
  <c r="F797" i="36"/>
  <c r="O797" i="36" s="1"/>
  <c r="F115" i="36"/>
  <c r="O115" i="36" s="1"/>
  <c r="F577" i="36"/>
  <c r="O577" i="36" s="1"/>
  <c r="F566" i="36"/>
  <c r="O566" i="36" s="1"/>
  <c r="F588" i="36"/>
  <c r="O588" i="36" s="1"/>
  <c r="F599" i="36"/>
  <c r="O599" i="36" s="1"/>
  <c r="F170" i="36"/>
  <c r="O170" i="36" s="1"/>
  <c r="F1083" i="36"/>
  <c r="O1083" i="36" s="1"/>
  <c r="F49" i="36"/>
  <c r="O49" i="36" s="1"/>
  <c r="F346" i="36"/>
  <c r="O346" i="36" s="1"/>
  <c r="F896" i="36"/>
  <c r="O896" i="36" s="1"/>
  <c r="F632" i="36"/>
  <c r="O632" i="36" s="1"/>
  <c r="F643" i="36"/>
  <c r="O643" i="36" s="1"/>
  <c r="F907" i="36"/>
  <c r="O907" i="36" s="1"/>
  <c r="F621" i="36"/>
  <c r="O621" i="36" s="1"/>
  <c r="F808" i="36"/>
  <c r="O808" i="36" s="1"/>
  <c r="F775" i="36"/>
  <c r="O775" i="36" s="1"/>
  <c r="F786" i="36"/>
  <c r="O786" i="36" s="1"/>
  <c r="G668" i="35" l="1"/>
  <c r="G414" i="35"/>
  <c r="G612" i="35"/>
  <c r="G447" i="35"/>
  <c r="G216" i="35"/>
  <c r="G480" i="35"/>
  <c r="G106" i="35"/>
  <c r="G73" i="35"/>
  <c r="G635" i="35"/>
  <c r="G568" i="35"/>
  <c r="G117" i="35"/>
  <c r="G271" i="35"/>
  <c r="G238" i="35"/>
  <c r="G139" i="35"/>
  <c r="G227" i="35"/>
  <c r="G62" i="35"/>
  <c r="G84" i="35"/>
  <c r="G282" i="35"/>
  <c r="G326" i="35"/>
  <c r="G348" i="35"/>
  <c r="G260" i="35"/>
  <c r="G249" i="35"/>
  <c r="G337" i="35"/>
  <c r="G392" i="35"/>
  <c r="G161" i="35"/>
  <c r="G535" i="35"/>
  <c r="G491" i="35"/>
  <c r="G381" i="35"/>
  <c r="G172" i="35"/>
  <c r="G183" i="35"/>
  <c r="G205" i="35"/>
  <c r="G29" i="35"/>
  <c r="G646" i="35"/>
  <c r="G436" i="35"/>
  <c r="G458" i="35"/>
  <c r="G194" i="35"/>
  <c r="G18" i="35"/>
  <c r="G624" i="35"/>
  <c r="G403" i="35"/>
  <c r="G7" i="35"/>
  <c r="G524" i="35"/>
  <c r="G370" i="35"/>
  <c r="G150" i="35"/>
  <c r="G469" i="35"/>
  <c r="G95" i="35"/>
  <c r="G579" i="35"/>
  <c r="G51" i="35"/>
  <c r="G128" i="35"/>
  <c r="G305" i="35"/>
  <c r="G425" i="35"/>
  <c r="G657" i="35"/>
  <c r="G513" i="35"/>
  <c r="G315" i="35"/>
  <c r="G359" i="35"/>
  <c r="G293" i="35"/>
  <c r="G502" i="35"/>
  <c r="G40" i="35"/>
  <c r="G88" i="21"/>
  <c r="H661" i="35"/>
  <c r="H672" i="35"/>
  <c r="E1208" i="36" s="1"/>
  <c r="N1208" i="36" s="1"/>
  <c r="H639" i="35"/>
  <c r="E1143" i="36" s="1"/>
  <c r="N1143" i="36" s="1"/>
  <c r="H650" i="35"/>
  <c r="E1175" i="36" s="1"/>
  <c r="N1175" i="36" s="1"/>
  <c r="E1185" i="36"/>
  <c r="N1185" i="36" s="1"/>
  <c r="E1196" i="36"/>
  <c r="N1196" i="36" s="1"/>
  <c r="C114" i="37" s="1"/>
  <c r="H84" i="21"/>
  <c r="I668" i="35"/>
  <c r="F1204" i="36" s="1"/>
  <c r="O1204" i="36" s="1"/>
  <c r="I657" i="35"/>
  <c r="I646" i="35"/>
  <c r="F1171" i="36" s="1"/>
  <c r="O1171" i="36" s="1"/>
  <c r="I635" i="35"/>
  <c r="F1139" i="36" s="1"/>
  <c r="O1139" i="36" s="1"/>
  <c r="F451" i="35"/>
  <c r="F286" i="35"/>
  <c r="F330" i="35"/>
  <c r="F396" i="35"/>
  <c r="F572" i="35"/>
  <c r="F231" i="35"/>
  <c r="F418" i="35"/>
  <c r="F672" i="35"/>
  <c r="F121" i="35"/>
  <c r="F88" i="35"/>
  <c r="F616" i="35"/>
  <c r="F77" i="35"/>
  <c r="F639" i="35"/>
  <c r="F66" i="35"/>
  <c r="F275" i="35"/>
  <c r="F242" i="35"/>
  <c r="F110" i="35"/>
  <c r="F143" i="35"/>
  <c r="F187" i="35"/>
  <c r="F209" i="35"/>
  <c r="F495" i="35"/>
  <c r="F352" i="35"/>
  <c r="F264" i="35"/>
  <c r="F650" i="35"/>
  <c r="F22" i="35"/>
  <c r="F253" i="35"/>
  <c r="F539" i="35"/>
  <c r="F385" i="35"/>
  <c r="F176" i="35"/>
  <c r="F341" i="35"/>
  <c r="F407" i="35"/>
  <c r="F198" i="35"/>
  <c r="F165" i="35"/>
  <c r="F628" i="35"/>
  <c r="F33" i="35"/>
  <c r="F440" i="35"/>
  <c r="F462" i="35"/>
  <c r="F220" i="35"/>
  <c r="F297" i="35"/>
  <c r="F473" i="35"/>
  <c r="F506" i="35"/>
  <c r="F429" i="35"/>
  <c r="F44" i="35"/>
  <c r="F11" i="35"/>
  <c r="F661" i="35"/>
  <c r="F154" i="35"/>
  <c r="F583" i="35"/>
  <c r="F309" i="35"/>
  <c r="F374" i="35"/>
  <c r="F517" i="35"/>
  <c r="F484" i="35"/>
  <c r="F99" i="35"/>
  <c r="F55" i="35"/>
  <c r="F132" i="35"/>
  <c r="F319" i="35"/>
  <c r="F528" i="35"/>
  <c r="F363" i="35"/>
  <c r="F1181" i="36"/>
  <c r="O1181" i="36" s="1"/>
  <c r="F1192" i="36"/>
  <c r="O1192" i="36" s="1"/>
  <c r="D110" i="37" s="1"/>
  <c r="E549" i="36"/>
  <c r="E846" i="36"/>
  <c r="E494" i="36"/>
  <c r="E340" i="36"/>
  <c r="E307" i="36"/>
  <c r="E164" i="36"/>
  <c r="E186" i="36"/>
  <c r="F842" i="36"/>
  <c r="F490" i="36"/>
  <c r="F545" i="36"/>
  <c r="F160" i="36"/>
  <c r="F182" i="36"/>
  <c r="F303" i="36"/>
  <c r="F336" i="36"/>
  <c r="F1093" i="36"/>
  <c r="O1092" i="36"/>
  <c r="F560" i="35"/>
  <c r="F549" i="35"/>
  <c r="G556" i="35"/>
  <c r="G545" i="35"/>
  <c r="F204" i="36"/>
  <c r="O204" i="36" s="1"/>
  <c r="F1225" i="36"/>
  <c r="O1225" i="36" s="1"/>
  <c r="E208" i="36"/>
  <c r="N208" i="36" s="1"/>
  <c r="E1229" i="36"/>
  <c r="N1229" i="36" s="1"/>
  <c r="F1149" i="36"/>
  <c r="O1149" i="36" s="1"/>
  <c r="F1214" i="36"/>
  <c r="O1214" i="36" s="1"/>
  <c r="E1153" i="36"/>
  <c r="N1153" i="36" s="1"/>
  <c r="E1218" i="36"/>
  <c r="N1218" i="36" s="1"/>
  <c r="I556" i="35"/>
  <c r="F17" i="36" s="1"/>
  <c r="O17" i="36" s="1"/>
  <c r="I545" i="35"/>
  <c r="F6" i="36" s="1"/>
  <c r="O6" i="36" s="1"/>
  <c r="H549" i="35"/>
  <c r="E10" i="36" s="1"/>
  <c r="N10" i="36" s="1"/>
  <c r="H560" i="35"/>
  <c r="E21" i="36" s="1"/>
  <c r="N21" i="36" s="1"/>
  <c r="J70" i="21"/>
  <c r="H473" i="35"/>
  <c r="H517" i="35"/>
  <c r="E429" i="36" s="1"/>
  <c r="N429" i="36" s="1"/>
  <c r="H396" i="35"/>
  <c r="H110" i="35"/>
  <c r="T70" i="21"/>
  <c r="H605" i="35" s="1"/>
  <c r="E44" i="36" s="1"/>
  <c r="N44" i="36" s="1"/>
  <c r="H187" i="35"/>
  <c r="H121" i="35"/>
  <c r="H176" i="35"/>
  <c r="H341" i="35"/>
  <c r="H583" i="35"/>
  <c r="E880" i="36" s="1"/>
  <c r="N880" i="36" s="1"/>
  <c r="H539" i="35"/>
  <c r="E891" i="36" s="1"/>
  <c r="N891" i="36" s="1"/>
  <c r="H264" i="35"/>
  <c r="E198" i="36" s="1"/>
  <c r="N198" i="36" s="1"/>
  <c r="H628" i="35"/>
  <c r="H231" i="35"/>
  <c r="E660" i="36" s="1"/>
  <c r="N660" i="36" s="1"/>
  <c r="H88" i="35"/>
  <c r="O70" i="21"/>
  <c r="H594" i="35" s="1"/>
  <c r="E33" i="36" s="1"/>
  <c r="N33" i="36" s="1"/>
  <c r="H33" i="35"/>
  <c r="H275" i="35"/>
  <c r="H297" i="35"/>
  <c r="H77" i="35"/>
  <c r="H451" i="35"/>
  <c r="H319" i="35"/>
  <c r="H572" i="35"/>
  <c r="H352" i="35"/>
  <c r="H506" i="35"/>
  <c r="H385" i="35"/>
  <c r="E264" i="36" s="1"/>
  <c r="N264" i="36" s="1"/>
  <c r="H440" i="35"/>
  <c r="H286" i="35"/>
  <c r="H484" i="35"/>
  <c r="H418" i="35"/>
  <c r="H154" i="35"/>
  <c r="E275" i="36" s="1"/>
  <c r="N275" i="36" s="1"/>
  <c r="H429" i="35"/>
  <c r="H407" i="35"/>
  <c r="E616" i="36" s="1"/>
  <c r="N616" i="36" s="1"/>
  <c r="H165" i="35"/>
  <c r="H220" i="35"/>
  <c r="E1045" i="36" s="1"/>
  <c r="N1045" i="36" s="1"/>
  <c r="H462" i="35"/>
  <c r="H309" i="35"/>
  <c r="E1013" i="36" s="1"/>
  <c r="N1013" i="36" s="1"/>
  <c r="H143" i="35"/>
  <c r="E66" i="36" s="1"/>
  <c r="N66" i="36" s="1"/>
  <c r="H242" i="35"/>
  <c r="H44" i="35"/>
  <c r="H253" i="35"/>
  <c r="E143" i="36" s="1"/>
  <c r="N143" i="36" s="1"/>
  <c r="H198" i="35"/>
  <c r="H330" i="35"/>
  <c r="H55" i="35"/>
  <c r="H209" i="35"/>
  <c r="H616" i="35"/>
  <c r="E770" i="36" s="1"/>
  <c r="N770" i="36" s="1"/>
  <c r="H22" i="35"/>
  <c r="E528" i="36" s="1"/>
  <c r="N528" i="36" s="1"/>
  <c r="H99" i="35"/>
  <c r="E759" i="36" s="1"/>
  <c r="N759" i="36" s="1"/>
  <c r="H132" i="35"/>
  <c r="E946" i="36" s="1"/>
  <c r="N946" i="36" s="1"/>
  <c r="H528" i="35"/>
  <c r="H363" i="35"/>
  <c r="E110" i="36" s="1"/>
  <c r="N110" i="36" s="1"/>
  <c r="H66" i="35"/>
  <c r="E253" i="36" s="1"/>
  <c r="N253" i="36" s="1"/>
  <c r="H374" i="35"/>
  <c r="E715" i="36" s="1"/>
  <c r="N715" i="36" s="1"/>
  <c r="H11" i="35"/>
  <c r="E1241" i="36" s="1"/>
  <c r="N1241" i="36" s="1"/>
  <c r="H495" i="35"/>
  <c r="E384" i="36"/>
  <c r="N384" i="36" s="1"/>
  <c r="E395" i="36"/>
  <c r="N395" i="36" s="1"/>
  <c r="E120" i="36"/>
  <c r="N120" i="36" s="1"/>
  <c r="E802" i="36"/>
  <c r="N802" i="36" s="1"/>
  <c r="E582" i="36"/>
  <c r="N582" i="36" s="1"/>
  <c r="E571" i="36"/>
  <c r="N571" i="36" s="1"/>
  <c r="E593" i="36"/>
  <c r="N593" i="36" s="1"/>
  <c r="N340" i="36"/>
  <c r="C32" i="37" s="1"/>
  <c r="E329" i="36"/>
  <c r="N329" i="36" s="1"/>
  <c r="B71" i="21"/>
  <c r="C71" i="21"/>
  <c r="E98" i="36"/>
  <c r="N98" i="36" s="1"/>
  <c r="E1055" i="36"/>
  <c r="N1055" i="36" s="1"/>
  <c r="S70" i="21"/>
  <c r="F605" i="35" s="1"/>
  <c r="I70" i="21"/>
  <c r="N70" i="21"/>
  <c r="F594" i="35" s="1"/>
  <c r="E989" i="36"/>
  <c r="N989" i="36" s="1"/>
  <c r="E1000" i="36"/>
  <c r="N1000" i="36" s="1"/>
  <c r="N549" i="36"/>
  <c r="E538" i="36"/>
  <c r="N538" i="36" s="1"/>
  <c r="E219" i="36"/>
  <c r="N219" i="36" s="1"/>
  <c r="C98" i="37" s="1"/>
  <c r="E131" i="36"/>
  <c r="N131" i="36" s="1"/>
  <c r="E978" i="36"/>
  <c r="N978" i="36" s="1"/>
  <c r="E296" i="36"/>
  <c r="N296" i="36" s="1"/>
  <c r="E318" i="36"/>
  <c r="N318" i="36" s="1"/>
  <c r="E450" i="36"/>
  <c r="N450" i="36" s="1"/>
  <c r="C43" i="37" s="1"/>
  <c r="E241" i="36"/>
  <c r="N241" i="36" s="1"/>
  <c r="E230" i="36"/>
  <c r="N230" i="36" s="1"/>
  <c r="E516" i="36"/>
  <c r="N516" i="36" s="1"/>
  <c r="E505" i="36"/>
  <c r="N505" i="36" s="1"/>
  <c r="E153" i="36"/>
  <c r="N153" i="36" s="1"/>
  <c r="N164" i="36"/>
  <c r="E725" i="36"/>
  <c r="N725" i="36" s="1"/>
  <c r="C76" i="37" s="1"/>
  <c r="E703" i="36"/>
  <c r="N703" i="36" s="1"/>
  <c r="C65" i="37" s="1"/>
  <c r="E692" i="36"/>
  <c r="N692" i="36" s="1"/>
  <c r="E472" i="36"/>
  <c r="N472" i="36" s="1"/>
  <c r="E461" i="36"/>
  <c r="N461" i="36" s="1"/>
  <c r="E967" i="36"/>
  <c r="N967" i="36" s="1"/>
  <c r="E934" i="36"/>
  <c r="N934" i="36" s="1"/>
  <c r="E604" i="36"/>
  <c r="N604" i="36" s="1"/>
  <c r="E791" i="36"/>
  <c r="N791" i="36" s="1"/>
  <c r="E780" i="36"/>
  <c r="N780" i="36" s="1"/>
  <c r="E736" i="36"/>
  <c r="N736" i="36" s="1"/>
  <c r="E747" i="36"/>
  <c r="N747" i="36" s="1"/>
  <c r="E813" i="36"/>
  <c r="N813" i="36" s="1"/>
  <c r="E626" i="36"/>
  <c r="N626" i="36" s="1"/>
  <c r="E362" i="36"/>
  <c r="N362" i="36" s="1"/>
  <c r="E1120" i="36"/>
  <c r="N1120" i="36" s="1"/>
  <c r="E1131" i="36"/>
  <c r="N1131" i="36" s="1"/>
  <c r="E439" i="36"/>
  <c r="N439" i="36" s="1"/>
  <c r="E923" i="36"/>
  <c r="N923" i="36" s="1"/>
  <c r="N186" i="36"/>
  <c r="C10" i="37" s="1"/>
  <c r="E175" i="36"/>
  <c r="N175" i="36" s="1"/>
  <c r="E1033" i="36"/>
  <c r="N1033" i="36" s="1"/>
  <c r="E1022" i="36"/>
  <c r="N1022" i="36" s="1"/>
  <c r="N307" i="36"/>
  <c r="E560" i="36"/>
  <c r="N560" i="36" s="1"/>
  <c r="C87" i="37" s="1"/>
  <c r="E285" i="36"/>
  <c r="N285" i="36" s="1"/>
  <c r="E76" i="36"/>
  <c r="N76" i="36" s="1"/>
  <c r="E87" i="36"/>
  <c r="N87" i="36" s="1"/>
  <c r="C21" i="37" s="1"/>
  <c r="E373" i="36"/>
  <c r="N373" i="36" s="1"/>
  <c r="E681" i="36"/>
  <c r="N681" i="36" s="1"/>
  <c r="C54" i="37" s="1"/>
  <c r="E670" i="36"/>
  <c r="N670" i="36" s="1"/>
  <c r="E417" i="36"/>
  <c r="N417" i="36" s="1"/>
  <c r="E1066" i="36"/>
  <c r="N1066" i="36" s="1"/>
  <c r="E406" i="36"/>
  <c r="N406" i="36" s="1"/>
  <c r="E483" i="36"/>
  <c r="N483" i="36" s="1"/>
  <c r="E824" i="36"/>
  <c r="N824" i="36" s="1"/>
  <c r="N494" i="36"/>
  <c r="E868" i="36"/>
  <c r="N868" i="36" s="1"/>
  <c r="E857" i="36"/>
  <c r="N857" i="36" s="1"/>
  <c r="E956" i="36"/>
  <c r="N956" i="36" s="1"/>
  <c r="E351" i="36"/>
  <c r="N351" i="36" s="1"/>
  <c r="E1088" i="36"/>
  <c r="N1088" i="36" s="1"/>
  <c r="E54" i="36"/>
  <c r="N54" i="36" s="1"/>
  <c r="E637" i="36"/>
  <c r="N637" i="36" s="1"/>
  <c r="E912" i="36"/>
  <c r="N912" i="36" s="1"/>
  <c r="E901" i="36"/>
  <c r="N901" i="36" s="1"/>
  <c r="E648" i="36"/>
  <c r="N648" i="36" s="1"/>
  <c r="E835" i="36"/>
  <c r="N835" i="36" s="1"/>
  <c r="N846" i="36"/>
  <c r="E1077" i="36"/>
  <c r="N1077" i="36" s="1"/>
  <c r="F369" i="36"/>
  <c r="O369" i="36" s="1"/>
  <c r="F666" i="36"/>
  <c r="O666" i="36" s="1"/>
  <c r="F677" i="36"/>
  <c r="O677" i="36" s="1"/>
  <c r="D50" i="37" s="1"/>
  <c r="F347" i="36"/>
  <c r="O347" i="36" s="1"/>
  <c r="F50" i="36"/>
  <c r="O50" i="36" s="1"/>
  <c r="F1084" i="36"/>
  <c r="O1084" i="36" s="1"/>
  <c r="F171" i="36"/>
  <c r="O171" i="36" s="1"/>
  <c r="O182" i="36"/>
  <c r="D6" i="37" s="1"/>
  <c r="F600" i="36"/>
  <c r="O600" i="36" s="1"/>
  <c r="F809" i="36"/>
  <c r="O809" i="36" s="1"/>
  <c r="F622" i="36"/>
  <c r="O622" i="36" s="1"/>
  <c r="F325" i="36"/>
  <c r="O325" i="36" s="1"/>
  <c r="O336" i="36"/>
  <c r="D28" i="37" s="1"/>
  <c r="F930" i="36"/>
  <c r="O930" i="36" s="1"/>
  <c r="F963" i="36"/>
  <c r="O963" i="36" s="1"/>
  <c r="O842" i="36"/>
  <c r="F831" i="36"/>
  <c r="O831" i="36" s="1"/>
  <c r="F1073" i="36"/>
  <c r="O1073" i="36" s="1"/>
  <c r="P66" i="21"/>
  <c r="G590" i="35" s="1"/>
  <c r="K66" i="21"/>
  <c r="U66" i="21"/>
  <c r="G601" i="35" s="1"/>
  <c r="D67" i="21"/>
  <c r="F391" i="36"/>
  <c r="O391" i="36" s="1"/>
  <c r="F380" i="36"/>
  <c r="O380" i="36" s="1"/>
  <c r="F985" i="36"/>
  <c r="O985" i="36" s="1"/>
  <c r="F996" i="36"/>
  <c r="O996" i="36" s="1"/>
  <c r="F721" i="36"/>
  <c r="O721" i="36" s="1"/>
  <c r="D72" i="37" s="1"/>
  <c r="F699" i="36"/>
  <c r="O699" i="36" s="1"/>
  <c r="D61" i="37" s="1"/>
  <c r="F688" i="36"/>
  <c r="O688" i="36" s="1"/>
  <c r="F237" i="36"/>
  <c r="O237" i="36" s="1"/>
  <c r="F446" i="36"/>
  <c r="O446" i="36" s="1"/>
  <c r="D39" i="37" s="1"/>
  <c r="F226" i="36"/>
  <c r="O226" i="36" s="1"/>
  <c r="F534" i="36"/>
  <c r="O534" i="36" s="1"/>
  <c r="O545" i="36"/>
  <c r="F435" i="36"/>
  <c r="O435" i="36" s="1"/>
  <c r="F919" i="36"/>
  <c r="O919" i="36" s="1"/>
  <c r="F633" i="36"/>
  <c r="O633" i="36" s="1"/>
  <c r="F644" i="36"/>
  <c r="O644" i="36" s="1"/>
  <c r="F908" i="36"/>
  <c r="O908" i="36" s="1"/>
  <c r="F897" i="36"/>
  <c r="O897" i="36" s="1"/>
  <c r="F776" i="36"/>
  <c r="O776" i="36" s="1"/>
  <c r="F787" i="36"/>
  <c r="O787" i="36" s="1"/>
  <c r="F479" i="36"/>
  <c r="O479" i="36" s="1"/>
  <c r="O490" i="36"/>
  <c r="F820" i="36"/>
  <c r="O820" i="36" s="1"/>
  <c r="F512" i="36"/>
  <c r="O512" i="36" s="1"/>
  <c r="F501" i="36"/>
  <c r="O501" i="36" s="1"/>
  <c r="E67" i="21"/>
  <c r="Q66" i="21"/>
  <c r="I590" i="35" s="1"/>
  <c r="F29" i="36" s="1"/>
  <c r="O29" i="36" s="1"/>
  <c r="L66" i="21"/>
  <c r="I150" i="35"/>
  <c r="F271" i="36" s="1"/>
  <c r="O271" i="36" s="1"/>
  <c r="V66" i="21"/>
  <c r="I601" i="35" s="1"/>
  <c r="F40" i="36" s="1"/>
  <c r="O40" i="36" s="1"/>
  <c r="I337" i="35"/>
  <c r="I106" i="35"/>
  <c r="I403" i="35"/>
  <c r="F612" i="36" s="1"/>
  <c r="O612" i="36" s="1"/>
  <c r="I117" i="35"/>
  <c r="I271" i="35"/>
  <c r="I469" i="35"/>
  <c r="I29" i="35"/>
  <c r="I84" i="35"/>
  <c r="I568" i="35"/>
  <c r="I458" i="35"/>
  <c r="I513" i="35"/>
  <c r="F425" i="36" s="1"/>
  <c r="O425" i="36" s="1"/>
  <c r="I315" i="35"/>
  <c r="I392" i="35"/>
  <c r="I183" i="35"/>
  <c r="I502" i="35"/>
  <c r="I249" i="35"/>
  <c r="F139" i="36" s="1"/>
  <c r="O139" i="36" s="1"/>
  <c r="I260" i="35"/>
  <c r="F194" i="36" s="1"/>
  <c r="O194" i="36" s="1"/>
  <c r="I139" i="35"/>
  <c r="F62" i="36" s="1"/>
  <c r="O62" i="36" s="1"/>
  <c r="I227" i="35"/>
  <c r="F656" i="36" s="1"/>
  <c r="O656" i="36" s="1"/>
  <c r="I305" i="35"/>
  <c r="F1009" i="36" s="1"/>
  <c r="O1009" i="36" s="1"/>
  <c r="I414" i="35"/>
  <c r="I447" i="35"/>
  <c r="I282" i="35"/>
  <c r="I579" i="35"/>
  <c r="F876" i="36" s="1"/>
  <c r="O876" i="36" s="1"/>
  <c r="I194" i="35"/>
  <c r="I238" i="35"/>
  <c r="I293" i="35"/>
  <c r="I624" i="35"/>
  <c r="I381" i="35"/>
  <c r="F260" i="36" s="1"/>
  <c r="O260" i="36" s="1"/>
  <c r="I425" i="35"/>
  <c r="I172" i="35"/>
  <c r="I348" i="35"/>
  <c r="I535" i="35"/>
  <c r="F887" i="36" s="1"/>
  <c r="O887" i="36" s="1"/>
  <c r="I436" i="35"/>
  <c r="I73" i="35"/>
  <c r="I480" i="35"/>
  <c r="I161" i="35"/>
  <c r="I205" i="35"/>
  <c r="I40" i="35"/>
  <c r="I62" i="35"/>
  <c r="F249" i="36" s="1"/>
  <c r="O249" i="36" s="1"/>
  <c r="I95" i="35"/>
  <c r="F755" i="36" s="1"/>
  <c r="O755" i="36" s="1"/>
  <c r="I18" i="35"/>
  <c r="F524" i="36" s="1"/>
  <c r="O524" i="36" s="1"/>
  <c r="I326" i="35"/>
  <c r="I216" i="35"/>
  <c r="F1041" i="36" s="1"/>
  <c r="O1041" i="36" s="1"/>
  <c r="I359" i="35"/>
  <c r="F106" i="36" s="1"/>
  <c r="O106" i="36" s="1"/>
  <c r="I51" i="35"/>
  <c r="I7" i="35"/>
  <c r="F1237" i="36" s="1"/>
  <c r="O1237" i="36" s="1"/>
  <c r="I128" i="35"/>
  <c r="F942" i="36" s="1"/>
  <c r="O942" i="36" s="1"/>
  <c r="I612" i="35"/>
  <c r="F766" i="36" s="1"/>
  <c r="O766" i="36" s="1"/>
  <c r="I524" i="35"/>
  <c r="I370" i="35"/>
  <c r="F711" i="36" s="1"/>
  <c r="O711" i="36" s="1"/>
  <c r="I491" i="35"/>
  <c r="F732" i="36"/>
  <c r="O732" i="36" s="1"/>
  <c r="F743" i="36"/>
  <c r="O743" i="36" s="1"/>
  <c r="F1116" i="36"/>
  <c r="O1116" i="36" s="1"/>
  <c r="F1127" i="36"/>
  <c r="O1127" i="36" s="1"/>
  <c r="F402" i="36"/>
  <c r="O402" i="36" s="1"/>
  <c r="F413" i="36"/>
  <c r="O413" i="36" s="1"/>
  <c r="F1062" i="36"/>
  <c r="O1062" i="36" s="1"/>
  <c r="F215" i="36"/>
  <c r="O215" i="36" s="1"/>
  <c r="D94" i="37" s="1"/>
  <c r="F127" i="36"/>
  <c r="O127" i="36" s="1"/>
  <c r="F567" i="36"/>
  <c r="O567" i="36" s="1"/>
  <c r="F578" i="36"/>
  <c r="O578" i="36" s="1"/>
  <c r="F589" i="36"/>
  <c r="O589" i="36" s="1"/>
  <c r="F149" i="36"/>
  <c r="O149" i="36" s="1"/>
  <c r="O160" i="36"/>
  <c r="F952" i="36"/>
  <c r="O952" i="36" s="1"/>
  <c r="F864" i="36"/>
  <c r="O864" i="36" s="1"/>
  <c r="F853" i="36"/>
  <c r="O853" i="36" s="1"/>
  <c r="O303" i="36"/>
  <c r="F556" i="36"/>
  <c r="O556" i="36" s="1"/>
  <c r="D83" i="37" s="1"/>
  <c r="F281" i="36"/>
  <c r="O281" i="36" s="1"/>
  <c r="F83" i="36"/>
  <c r="O83" i="36" s="1"/>
  <c r="D17" i="37" s="1"/>
  <c r="F72" i="36"/>
  <c r="O72" i="36" s="1"/>
  <c r="F1051" i="36"/>
  <c r="O1051" i="36" s="1"/>
  <c r="F94" i="36"/>
  <c r="O94" i="36" s="1"/>
  <c r="F116" i="36"/>
  <c r="O116" i="36" s="1"/>
  <c r="F798" i="36"/>
  <c r="O798" i="36" s="1"/>
  <c r="F314" i="36"/>
  <c r="O314" i="36" s="1"/>
  <c r="F974" i="36"/>
  <c r="O974" i="36" s="1"/>
  <c r="F292" i="36"/>
  <c r="O292" i="36" s="1"/>
  <c r="F358" i="36"/>
  <c r="O358" i="36" s="1"/>
  <c r="F1018" i="36"/>
  <c r="O1018" i="36" s="1"/>
  <c r="F1029" i="36"/>
  <c r="O1029" i="36" s="1"/>
  <c r="F457" i="36"/>
  <c r="O457" i="36" s="1"/>
  <c r="F468" i="36"/>
  <c r="O468" i="36" s="1"/>
  <c r="H85" i="21" l="1"/>
  <c r="I658" i="35"/>
  <c r="I669" i="35"/>
  <c r="F1205" i="36" s="1"/>
  <c r="O1205" i="36" s="1"/>
  <c r="I636" i="35"/>
  <c r="F1140" i="36" s="1"/>
  <c r="O1140" i="36" s="1"/>
  <c r="I647" i="35"/>
  <c r="F1172" i="36" s="1"/>
  <c r="O1172" i="36" s="1"/>
  <c r="G89" i="21"/>
  <c r="H662" i="35"/>
  <c r="H673" i="35"/>
  <c r="E1209" i="36" s="1"/>
  <c r="N1209" i="36" s="1"/>
  <c r="H651" i="35"/>
  <c r="E1176" i="36" s="1"/>
  <c r="N1176" i="36" s="1"/>
  <c r="H640" i="35"/>
  <c r="E1144" i="36" s="1"/>
  <c r="N1144" i="36" s="1"/>
  <c r="F1182" i="36"/>
  <c r="O1182" i="36" s="1"/>
  <c r="F1193" i="36"/>
  <c r="O1193" i="36" s="1"/>
  <c r="D111" i="37" s="1"/>
  <c r="E1186" i="36"/>
  <c r="N1186" i="36" s="1"/>
  <c r="E1197" i="36"/>
  <c r="N1197" i="36" s="1"/>
  <c r="C115" i="37" s="1"/>
  <c r="B75" i="21"/>
  <c r="B80" i="21" s="1"/>
  <c r="F573" i="35"/>
  <c r="F419" i="35"/>
  <c r="F673" i="35"/>
  <c r="F122" i="35"/>
  <c r="F452" i="35"/>
  <c r="F287" i="35"/>
  <c r="F111" i="35"/>
  <c r="F640" i="35"/>
  <c r="F331" i="35"/>
  <c r="F232" i="35"/>
  <c r="F67" i="35"/>
  <c r="F276" i="35"/>
  <c r="F89" i="35"/>
  <c r="F78" i="35"/>
  <c r="F144" i="35"/>
  <c r="F243" i="35"/>
  <c r="F617" i="35"/>
  <c r="F397" i="35"/>
  <c r="F188" i="35"/>
  <c r="F34" i="35"/>
  <c r="F342" i="35"/>
  <c r="F199" i="35"/>
  <c r="F210" i="35"/>
  <c r="F651" i="35"/>
  <c r="F166" i="35"/>
  <c r="F254" i="35"/>
  <c r="F496" i="35"/>
  <c r="F408" i="35"/>
  <c r="F353" i="35"/>
  <c r="F265" i="35"/>
  <c r="F23" i="35"/>
  <c r="F441" i="35"/>
  <c r="F386" i="35"/>
  <c r="F463" i="35"/>
  <c r="F629" i="35"/>
  <c r="F177" i="35"/>
  <c r="F662" i="35"/>
  <c r="F540" i="35"/>
  <c r="F518" i="35"/>
  <c r="F320" i="35"/>
  <c r="F529" i="35"/>
  <c r="F155" i="35"/>
  <c r="F221" i="35"/>
  <c r="F298" i="35"/>
  <c r="F474" i="35"/>
  <c r="F100" i="35"/>
  <c r="F584" i="35"/>
  <c r="F133" i="35"/>
  <c r="F301" i="35"/>
  <c r="F430" i="35"/>
  <c r="F12" i="35"/>
  <c r="F364" i="35"/>
  <c r="F375" i="35"/>
  <c r="F45" i="35"/>
  <c r="F485" i="35"/>
  <c r="F56" i="35"/>
  <c r="F507" i="35"/>
  <c r="E847" i="36"/>
  <c r="E495" i="36"/>
  <c r="E550" i="36"/>
  <c r="E308" i="36"/>
  <c r="N308" i="36" s="1"/>
  <c r="E341" i="36"/>
  <c r="E187" i="36"/>
  <c r="E165" i="36"/>
  <c r="G228" i="35"/>
  <c r="G118" i="35"/>
  <c r="G448" i="35"/>
  <c r="G283" i="35"/>
  <c r="G613" i="35"/>
  <c r="G107" i="35"/>
  <c r="G140" i="35"/>
  <c r="G327" i="35"/>
  <c r="G669" i="35"/>
  <c r="G569" i="35"/>
  <c r="G63" i="35"/>
  <c r="G272" i="35"/>
  <c r="G85" i="35"/>
  <c r="G239" i="35"/>
  <c r="G217" i="35"/>
  <c r="G415" i="35"/>
  <c r="G74" i="35"/>
  <c r="G636" i="35"/>
  <c r="G393" i="35"/>
  <c r="G206" i="35"/>
  <c r="G30" i="35"/>
  <c r="G437" i="35"/>
  <c r="G250" i="35"/>
  <c r="G536" i="35"/>
  <c r="G338" i="35"/>
  <c r="G459" i="35"/>
  <c r="G184" i="35"/>
  <c r="G625" i="35"/>
  <c r="G492" i="35"/>
  <c r="G382" i="35"/>
  <c r="G349" i="35"/>
  <c r="G261" i="35"/>
  <c r="G19" i="35"/>
  <c r="G173" i="35"/>
  <c r="G647" i="35"/>
  <c r="G162" i="35"/>
  <c r="G404" i="35"/>
  <c r="G195" i="35"/>
  <c r="G658" i="35"/>
  <c r="G525" i="35"/>
  <c r="G306" i="35"/>
  <c r="G151" i="35"/>
  <c r="G316" i="35"/>
  <c r="G470" i="35"/>
  <c r="G503" i="35"/>
  <c r="G426" i="35"/>
  <c r="G514" i="35"/>
  <c r="G294" i="35"/>
  <c r="G360" i="35"/>
  <c r="G371" i="35"/>
  <c r="G41" i="35"/>
  <c r="G8" i="35"/>
  <c r="G481" i="35"/>
  <c r="G96" i="35"/>
  <c r="G580" i="35"/>
  <c r="G52" i="35"/>
  <c r="G129" i="35"/>
  <c r="F546" i="36"/>
  <c r="F843" i="36"/>
  <c r="F491" i="36"/>
  <c r="F337" i="36"/>
  <c r="F183" i="36"/>
  <c r="F304" i="36"/>
  <c r="F161" i="36"/>
  <c r="F1094" i="36"/>
  <c r="O1093" i="36"/>
  <c r="G546" i="35"/>
  <c r="G557" i="35"/>
  <c r="F550" i="35"/>
  <c r="F561" i="35"/>
  <c r="E209" i="36"/>
  <c r="N209" i="36" s="1"/>
  <c r="E1230" i="36"/>
  <c r="N1230" i="36" s="1"/>
  <c r="F205" i="36"/>
  <c r="O205" i="36" s="1"/>
  <c r="F1226" i="36"/>
  <c r="O1226" i="36" s="1"/>
  <c r="F1150" i="36"/>
  <c r="O1150" i="36" s="1"/>
  <c r="F1215" i="36"/>
  <c r="O1215" i="36" s="1"/>
  <c r="E1154" i="36"/>
  <c r="N1154" i="36" s="1"/>
  <c r="E1219" i="36"/>
  <c r="N1219" i="36" s="1"/>
  <c r="I546" i="35"/>
  <c r="F7" i="36" s="1"/>
  <c r="O7" i="36" s="1"/>
  <c r="I557" i="35"/>
  <c r="F18" i="36" s="1"/>
  <c r="O18" i="36" s="1"/>
  <c r="H550" i="35"/>
  <c r="E11" i="36" s="1"/>
  <c r="N11" i="36" s="1"/>
  <c r="H561" i="35"/>
  <c r="E22" i="36" s="1"/>
  <c r="N22" i="36" s="1"/>
  <c r="E473" i="36"/>
  <c r="N473" i="36" s="1"/>
  <c r="E462" i="36"/>
  <c r="N462" i="36" s="1"/>
  <c r="E561" i="36"/>
  <c r="N561" i="36" s="1"/>
  <c r="C88" i="37" s="1"/>
  <c r="E286" i="36"/>
  <c r="N286" i="36" s="1"/>
  <c r="E737" i="36"/>
  <c r="N737" i="36" s="1"/>
  <c r="E748" i="36"/>
  <c r="N748" i="36" s="1"/>
  <c r="E352" i="36"/>
  <c r="N352" i="36" s="1"/>
  <c r="E1089" i="36"/>
  <c r="N1089" i="36" s="1"/>
  <c r="E55" i="36"/>
  <c r="N55" i="36" s="1"/>
  <c r="E363" i="36"/>
  <c r="N363" i="36" s="1"/>
  <c r="E1034" i="36"/>
  <c r="N1034" i="36" s="1"/>
  <c r="E1023" i="36"/>
  <c r="N1023" i="36" s="1"/>
  <c r="E1067" i="36"/>
  <c r="N1067" i="36" s="1"/>
  <c r="E418" i="36"/>
  <c r="N418" i="36" s="1"/>
  <c r="E407" i="36"/>
  <c r="N407" i="36" s="1"/>
  <c r="E825" i="36"/>
  <c r="N825" i="36" s="1"/>
  <c r="E484" i="36"/>
  <c r="N484" i="36" s="1"/>
  <c r="N495" i="36"/>
  <c r="E968" i="36"/>
  <c r="N968" i="36" s="1"/>
  <c r="E935" i="36"/>
  <c r="N935" i="36" s="1"/>
  <c r="E132" i="36"/>
  <c r="N132" i="36" s="1"/>
  <c r="E220" i="36"/>
  <c r="N220" i="36" s="1"/>
  <c r="C99" i="37" s="1"/>
  <c r="E77" i="36"/>
  <c r="N77" i="36" s="1"/>
  <c r="E88" i="36"/>
  <c r="N88" i="36" s="1"/>
  <c r="C22" i="37" s="1"/>
  <c r="E231" i="36"/>
  <c r="N231" i="36" s="1"/>
  <c r="E242" i="36"/>
  <c r="N242" i="36" s="1"/>
  <c r="E451" i="36"/>
  <c r="N451" i="36" s="1"/>
  <c r="C44" i="37" s="1"/>
  <c r="E924" i="36"/>
  <c r="N924" i="36" s="1"/>
  <c r="E440" i="36"/>
  <c r="N440" i="36" s="1"/>
  <c r="H474" i="35"/>
  <c r="J71" i="21"/>
  <c r="H122" i="35"/>
  <c r="H301" i="35"/>
  <c r="E1005" i="36" s="1"/>
  <c r="N1005" i="36" s="1"/>
  <c r="H507" i="35"/>
  <c r="H573" i="35"/>
  <c r="H386" i="35"/>
  <c r="E265" i="36" s="1"/>
  <c r="N265" i="36" s="1"/>
  <c r="H584" i="35"/>
  <c r="E881" i="36" s="1"/>
  <c r="N881" i="36" s="1"/>
  <c r="H276" i="35"/>
  <c r="T71" i="21"/>
  <c r="H606" i="35" s="1"/>
  <c r="E45" i="36" s="1"/>
  <c r="N45" i="36" s="1"/>
  <c r="H111" i="35"/>
  <c r="H34" i="35"/>
  <c r="H320" i="35"/>
  <c r="H188" i="35"/>
  <c r="H485" i="35"/>
  <c r="H298" i="35"/>
  <c r="H430" i="35"/>
  <c r="H166" i="35"/>
  <c r="H419" i="35"/>
  <c r="H408" i="35"/>
  <c r="E617" i="36" s="1"/>
  <c r="N617" i="36" s="1"/>
  <c r="H463" i="35"/>
  <c r="H518" i="35"/>
  <c r="E430" i="36" s="1"/>
  <c r="N430" i="36" s="1"/>
  <c r="H540" i="35"/>
  <c r="E892" i="36" s="1"/>
  <c r="N892" i="36" s="1"/>
  <c r="H155" i="35"/>
  <c r="E276" i="36" s="1"/>
  <c r="N276" i="36" s="1"/>
  <c r="H232" i="35"/>
  <c r="E661" i="36" s="1"/>
  <c r="N661" i="36" s="1"/>
  <c r="O71" i="21"/>
  <c r="H595" i="35" s="1"/>
  <c r="E34" i="36" s="1"/>
  <c r="N34" i="36" s="1"/>
  <c r="H342" i="35"/>
  <c r="H89" i="35"/>
  <c r="H265" i="35"/>
  <c r="E199" i="36" s="1"/>
  <c r="N199" i="36" s="1"/>
  <c r="H629" i="35"/>
  <c r="H78" i="35"/>
  <c r="H441" i="35"/>
  <c r="H452" i="35"/>
  <c r="H353" i="35"/>
  <c r="H397" i="35"/>
  <c r="H199" i="35"/>
  <c r="H67" i="35"/>
  <c r="E254" i="36" s="1"/>
  <c r="N254" i="36" s="1"/>
  <c r="H12" i="35"/>
  <c r="E1242" i="36" s="1"/>
  <c r="N1242" i="36" s="1"/>
  <c r="H254" i="35"/>
  <c r="E144" i="36" s="1"/>
  <c r="N144" i="36" s="1"/>
  <c r="H144" i="35"/>
  <c r="E67" i="36" s="1"/>
  <c r="N67" i="36" s="1"/>
  <c r="H287" i="35"/>
  <c r="H100" i="35"/>
  <c r="E760" i="36" s="1"/>
  <c r="N760" i="36" s="1"/>
  <c r="H210" i="35"/>
  <c r="H617" i="35"/>
  <c r="E771" i="36" s="1"/>
  <c r="N771" i="36" s="1"/>
  <c r="H177" i="35"/>
  <c r="H243" i="35"/>
  <c r="H45" i="35"/>
  <c r="H221" i="35"/>
  <c r="E1046" i="36" s="1"/>
  <c r="N1046" i="36" s="1"/>
  <c r="H133" i="35"/>
  <c r="E947" i="36" s="1"/>
  <c r="N947" i="36" s="1"/>
  <c r="H529" i="35"/>
  <c r="H331" i="35"/>
  <c r="H375" i="35"/>
  <c r="E716" i="36" s="1"/>
  <c r="N716" i="36" s="1"/>
  <c r="H56" i="35"/>
  <c r="H23" i="35"/>
  <c r="E529" i="36" s="1"/>
  <c r="N529" i="36" s="1"/>
  <c r="H364" i="35"/>
  <c r="E111" i="36" s="1"/>
  <c r="N111" i="36" s="1"/>
  <c r="H496" i="35"/>
  <c r="E374" i="36"/>
  <c r="N374" i="36" s="1"/>
  <c r="E385" i="36"/>
  <c r="N385" i="36" s="1"/>
  <c r="E396" i="36"/>
  <c r="N396" i="36" s="1"/>
  <c r="E121" i="36"/>
  <c r="N121" i="36" s="1"/>
  <c r="E803" i="36"/>
  <c r="N803" i="36" s="1"/>
  <c r="E1056" i="36"/>
  <c r="N1056" i="36" s="1"/>
  <c r="E99" i="36"/>
  <c r="N99" i="36" s="1"/>
  <c r="E814" i="36"/>
  <c r="N814" i="36" s="1"/>
  <c r="E627" i="36"/>
  <c r="N627" i="36" s="1"/>
  <c r="E605" i="36"/>
  <c r="N605" i="36" s="1"/>
  <c r="E792" i="36"/>
  <c r="N792" i="36" s="1"/>
  <c r="E781" i="36"/>
  <c r="N781" i="36" s="1"/>
  <c r="E682" i="36"/>
  <c r="N682" i="36" s="1"/>
  <c r="C55" i="37" s="1"/>
  <c r="E671" i="36"/>
  <c r="N671" i="36" s="1"/>
  <c r="N341" i="36"/>
  <c r="C33" i="37" s="1"/>
  <c r="E330" i="36"/>
  <c r="N330" i="36" s="1"/>
  <c r="E572" i="36"/>
  <c r="N572" i="36" s="1"/>
  <c r="E594" i="36"/>
  <c r="N594" i="36" s="1"/>
  <c r="E583" i="36"/>
  <c r="N583" i="36" s="1"/>
  <c r="E539" i="36"/>
  <c r="N539" i="36" s="1"/>
  <c r="N550" i="36"/>
  <c r="E869" i="36"/>
  <c r="N869" i="36" s="1"/>
  <c r="E858" i="36"/>
  <c r="N858" i="36" s="1"/>
  <c r="E957" i="36"/>
  <c r="N957" i="36" s="1"/>
  <c r="S71" i="21"/>
  <c r="F606" i="35" s="1"/>
  <c r="I71" i="21"/>
  <c r="N71" i="21"/>
  <c r="F595" i="35" s="1"/>
  <c r="E704" i="36"/>
  <c r="N704" i="36" s="1"/>
  <c r="C66" i="37" s="1"/>
  <c r="E726" i="36"/>
  <c r="N726" i="36" s="1"/>
  <c r="C77" i="37" s="1"/>
  <c r="E693" i="36"/>
  <c r="N693" i="36" s="1"/>
  <c r="E990" i="36"/>
  <c r="N990" i="36" s="1"/>
  <c r="E1001" i="36"/>
  <c r="N1001" i="36" s="1"/>
  <c r="E319" i="36"/>
  <c r="N319" i="36" s="1"/>
  <c r="E979" i="36"/>
  <c r="N979" i="36" s="1"/>
  <c r="E297" i="36"/>
  <c r="N297" i="36" s="1"/>
  <c r="N165" i="36"/>
  <c r="E154" i="36"/>
  <c r="N154" i="36" s="1"/>
  <c r="N187" i="36"/>
  <c r="C11" i="37" s="1"/>
  <c r="E176" i="36"/>
  <c r="N176" i="36" s="1"/>
  <c r="E506" i="36"/>
  <c r="N506" i="36" s="1"/>
  <c r="E517" i="36"/>
  <c r="N517" i="36" s="1"/>
  <c r="E1121" i="36"/>
  <c r="N1121" i="36" s="1"/>
  <c r="E1132" i="36"/>
  <c r="N1132" i="36" s="1"/>
  <c r="E1078" i="36"/>
  <c r="N1078" i="36" s="1"/>
  <c r="N847" i="36"/>
  <c r="E836" i="36"/>
  <c r="N836" i="36" s="1"/>
  <c r="E638" i="36"/>
  <c r="N638" i="36" s="1"/>
  <c r="E913" i="36"/>
  <c r="N913" i="36" s="1"/>
  <c r="E902" i="36"/>
  <c r="N902" i="36" s="1"/>
  <c r="E649" i="36"/>
  <c r="N649" i="36" s="1"/>
  <c r="F689" i="36"/>
  <c r="O689" i="36" s="1"/>
  <c r="F722" i="36"/>
  <c r="O722" i="36" s="1"/>
  <c r="D73" i="37" s="1"/>
  <c r="F700" i="36"/>
  <c r="O700" i="36" s="1"/>
  <c r="D62" i="37" s="1"/>
  <c r="F370" i="36"/>
  <c r="O370" i="36" s="1"/>
  <c r="F744" i="36"/>
  <c r="O744" i="36" s="1"/>
  <c r="F733" i="36"/>
  <c r="O733" i="36" s="1"/>
  <c r="F84" i="36"/>
  <c r="O84" i="36" s="1"/>
  <c r="D18" i="37" s="1"/>
  <c r="F73" i="36"/>
  <c r="O73" i="36" s="1"/>
  <c r="F535" i="36"/>
  <c r="O535" i="36" s="1"/>
  <c r="O546" i="36"/>
  <c r="F469" i="36"/>
  <c r="O469" i="36" s="1"/>
  <c r="F458" i="36"/>
  <c r="O458" i="36" s="1"/>
  <c r="F403" i="36"/>
  <c r="O403" i="36" s="1"/>
  <c r="F1063" i="36"/>
  <c r="O1063" i="36" s="1"/>
  <c r="F414" i="36"/>
  <c r="O414" i="36" s="1"/>
  <c r="F590" i="36"/>
  <c r="O590" i="36" s="1"/>
  <c r="F579" i="36"/>
  <c r="O579" i="36" s="1"/>
  <c r="F568" i="36"/>
  <c r="O568" i="36" s="1"/>
  <c r="O161" i="36"/>
  <c r="F150" i="36"/>
  <c r="O150" i="36" s="1"/>
  <c r="F502" i="36"/>
  <c r="O502" i="36" s="1"/>
  <c r="F513" i="36"/>
  <c r="O513" i="36" s="1"/>
  <c r="F392" i="36"/>
  <c r="O392" i="36" s="1"/>
  <c r="F381" i="36"/>
  <c r="O381" i="36" s="1"/>
  <c r="F667" i="36"/>
  <c r="O667" i="36" s="1"/>
  <c r="F678" i="36"/>
  <c r="O678" i="36" s="1"/>
  <c r="D51" i="37" s="1"/>
  <c r="F997" i="36"/>
  <c r="O997" i="36" s="1"/>
  <c r="F986" i="36"/>
  <c r="O986" i="36" s="1"/>
  <c r="F359" i="36"/>
  <c r="O359" i="36" s="1"/>
  <c r="F238" i="36"/>
  <c r="O238" i="36" s="1"/>
  <c r="F447" i="36"/>
  <c r="O447" i="36" s="1"/>
  <c r="D40" i="37" s="1"/>
  <c r="F227" i="36"/>
  <c r="O227" i="36" s="1"/>
  <c r="F1085" i="36"/>
  <c r="O1085" i="36" s="1"/>
  <c r="F348" i="36"/>
  <c r="O348" i="36" s="1"/>
  <c r="F51" i="36"/>
  <c r="O51" i="36" s="1"/>
  <c r="O183" i="36"/>
  <c r="D7" i="37" s="1"/>
  <c r="F172" i="36"/>
  <c r="O172" i="36" s="1"/>
  <c r="F788" i="36"/>
  <c r="O788" i="36" s="1"/>
  <c r="F777" i="36"/>
  <c r="O777" i="36" s="1"/>
  <c r="O337" i="36"/>
  <c r="D29" i="37" s="1"/>
  <c r="F326" i="36"/>
  <c r="O326" i="36" s="1"/>
  <c r="F634" i="36"/>
  <c r="O634" i="36" s="1"/>
  <c r="F645" i="36"/>
  <c r="O645" i="36" s="1"/>
  <c r="F898" i="36"/>
  <c r="O898" i="36" s="1"/>
  <c r="F909" i="36"/>
  <c r="O909" i="36" s="1"/>
  <c r="F854" i="36"/>
  <c r="O854" i="36" s="1"/>
  <c r="F865" i="36"/>
  <c r="O865" i="36" s="1"/>
  <c r="F953" i="36"/>
  <c r="O953" i="36" s="1"/>
  <c r="F799" i="36"/>
  <c r="O799" i="36" s="1"/>
  <c r="F117" i="36"/>
  <c r="O117" i="36" s="1"/>
  <c r="F1052" i="36"/>
  <c r="O1052" i="36" s="1"/>
  <c r="F95" i="36"/>
  <c r="O95" i="36" s="1"/>
  <c r="F128" i="36"/>
  <c r="O128" i="36" s="1"/>
  <c r="F216" i="36"/>
  <c r="O216" i="36" s="1"/>
  <c r="D95" i="37" s="1"/>
  <c r="F1030" i="36"/>
  <c r="O1030" i="36" s="1"/>
  <c r="F1019" i="36"/>
  <c r="O1019" i="36" s="1"/>
  <c r="F601" i="36"/>
  <c r="O601" i="36" s="1"/>
  <c r="F832" i="36"/>
  <c r="O832" i="36" s="1"/>
  <c r="F1074" i="36"/>
  <c r="O1074" i="36" s="1"/>
  <c r="O843" i="36"/>
  <c r="F557" i="36"/>
  <c r="O557" i="36" s="1"/>
  <c r="D84" i="37" s="1"/>
  <c r="O304" i="36"/>
  <c r="F282" i="36"/>
  <c r="O282" i="36" s="1"/>
  <c r="F315" i="36"/>
  <c r="O315" i="36" s="1"/>
  <c r="F293" i="36"/>
  <c r="O293" i="36" s="1"/>
  <c r="F975" i="36"/>
  <c r="O975" i="36" s="1"/>
  <c r="F436" i="36"/>
  <c r="O436" i="36" s="1"/>
  <c r="F920" i="36"/>
  <c r="O920" i="36" s="1"/>
  <c r="F1117" i="36"/>
  <c r="O1117" i="36" s="1"/>
  <c r="F1128" i="36"/>
  <c r="O1128" i="36" s="1"/>
  <c r="F623" i="36"/>
  <c r="O623" i="36" s="1"/>
  <c r="F810" i="36"/>
  <c r="O810" i="36" s="1"/>
  <c r="F821" i="36"/>
  <c r="O821" i="36" s="1"/>
  <c r="O491" i="36"/>
  <c r="F480" i="36"/>
  <c r="O480" i="36" s="1"/>
  <c r="F931" i="36"/>
  <c r="O931" i="36" s="1"/>
  <c r="F964" i="36"/>
  <c r="O964" i="36" s="1"/>
  <c r="V67" i="21"/>
  <c r="I602" i="35" s="1"/>
  <c r="F41" i="36" s="1"/>
  <c r="O41" i="36" s="1"/>
  <c r="E68" i="21"/>
  <c r="Q67" i="21"/>
  <c r="I591" i="35" s="1"/>
  <c r="F30" i="36" s="1"/>
  <c r="O30" i="36" s="1"/>
  <c r="L67" i="21"/>
  <c r="I118" i="35"/>
  <c r="I107" i="35"/>
  <c r="I85" i="35"/>
  <c r="I426" i="35"/>
  <c r="I306" i="35"/>
  <c r="F1010" i="36" s="1"/>
  <c r="O1010" i="36" s="1"/>
  <c r="I338" i="35"/>
  <c r="I415" i="35"/>
  <c r="I470" i="35"/>
  <c r="I184" i="35"/>
  <c r="I316" i="35"/>
  <c r="I459" i="35"/>
  <c r="I514" i="35"/>
  <c r="F426" i="36" s="1"/>
  <c r="O426" i="36" s="1"/>
  <c r="I272" i="35"/>
  <c r="I503" i="35"/>
  <c r="I393" i="35"/>
  <c r="I140" i="35"/>
  <c r="F63" i="36" s="1"/>
  <c r="O63" i="36" s="1"/>
  <c r="I569" i="35"/>
  <c r="I382" i="35"/>
  <c r="F261" i="36" s="1"/>
  <c r="O261" i="36" s="1"/>
  <c r="I195" i="35"/>
  <c r="I250" i="35"/>
  <c r="F140" i="36" s="1"/>
  <c r="O140" i="36" s="1"/>
  <c r="I30" i="35"/>
  <c r="I261" i="35"/>
  <c r="F195" i="36" s="1"/>
  <c r="O195" i="36" s="1"/>
  <c r="I283" i="35"/>
  <c r="I536" i="35"/>
  <c r="F888" i="36" s="1"/>
  <c r="O888" i="36" s="1"/>
  <c r="I437" i="35"/>
  <c r="I404" i="35"/>
  <c r="F613" i="36" s="1"/>
  <c r="O613" i="36" s="1"/>
  <c r="I239" i="35"/>
  <c r="I294" i="35"/>
  <c r="I625" i="35"/>
  <c r="I74" i="35"/>
  <c r="I162" i="35"/>
  <c r="I580" i="35"/>
  <c r="F877" i="36" s="1"/>
  <c r="O877" i="36" s="1"/>
  <c r="I349" i="35"/>
  <c r="I228" i="35"/>
  <c r="F657" i="36" s="1"/>
  <c r="O657" i="36" s="1"/>
  <c r="I173" i="35"/>
  <c r="I481" i="35"/>
  <c r="I151" i="35"/>
  <c r="F272" i="36" s="1"/>
  <c r="O272" i="36" s="1"/>
  <c r="I448" i="35"/>
  <c r="I63" i="35"/>
  <c r="F250" i="36" s="1"/>
  <c r="O250" i="36" s="1"/>
  <c r="I129" i="35"/>
  <c r="F943" i="36" s="1"/>
  <c r="O943" i="36" s="1"/>
  <c r="I8" i="35"/>
  <c r="F1238" i="36" s="1"/>
  <c r="O1238" i="36" s="1"/>
  <c r="I217" i="35"/>
  <c r="F1042" i="36" s="1"/>
  <c r="O1042" i="36" s="1"/>
  <c r="I52" i="35"/>
  <c r="I206" i="35"/>
  <c r="I19" i="35"/>
  <c r="F525" i="36" s="1"/>
  <c r="O525" i="36" s="1"/>
  <c r="I96" i="35"/>
  <c r="F756" i="36" s="1"/>
  <c r="O756" i="36" s="1"/>
  <c r="I41" i="35"/>
  <c r="I613" i="35"/>
  <c r="F767" i="36" s="1"/>
  <c r="O767" i="36" s="1"/>
  <c r="I525" i="35"/>
  <c r="I371" i="35"/>
  <c r="F712" i="36" s="1"/>
  <c r="O712" i="36" s="1"/>
  <c r="I360" i="35"/>
  <c r="F107" i="36" s="1"/>
  <c r="O107" i="36" s="1"/>
  <c r="I327" i="35"/>
  <c r="I492" i="35"/>
  <c r="P67" i="21"/>
  <c r="G591" i="35" s="1"/>
  <c r="D68" i="21"/>
  <c r="K67" i="21"/>
  <c r="U67" i="21"/>
  <c r="G602" i="35" s="1"/>
  <c r="B81" i="21" l="1"/>
  <c r="C80" i="21"/>
  <c r="D80" i="21"/>
  <c r="E1187" i="36"/>
  <c r="N1187" i="36" s="1"/>
  <c r="E1198" i="36"/>
  <c r="N1198" i="36" s="1"/>
  <c r="C116" i="37" s="1"/>
  <c r="G670" i="35"/>
  <c r="G229" i="35"/>
  <c r="G64" i="35"/>
  <c r="G86" i="35"/>
  <c r="G284" i="35"/>
  <c r="G637" i="35"/>
  <c r="G328" i="35"/>
  <c r="G416" i="35"/>
  <c r="G449" i="35"/>
  <c r="G240" i="35"/>
  <c r="G218" i="35"/>
  <c r="G108" i="35"/>
  <c r="G75" i="35"/>
  <c r="G570" i="35"/>
  <c r="G119" i="35"/>
  <c r="G273" i="35"/>
  <c r="G614" i="35"/>
  <c r="G141" i="35"/>
  <c r="G394" i="35"/>
  <c r="G185" i="35"/>
  <c r="G648" i="35"/>
  <c r="G20" i="35"/>
  <c r="G251" i="35"/>
  <c r="G626" i="35"/>
  <c r="G537" i="35"/>
  <c r="G383" i="35"/>
  <c r="G405" i="35"/>
  <c r="G350" i="35"/>
  <c r="G262" i="35"/>
  <c r="G339" i="35"/>
  <c r="G207" i="35"/>
  <c r="G163" i="35"/>
  <c r="G493" i="35"/>
  <c r="G174" i="35"/>
  <c r="G31" i="35"/>
  <c r="G438" i="35"/>
  <c r="G460" i="35"/>
  <c r="G196" i="35"/>
  <c r="G152" i="35"/>
  <c r="G317" i="35"/>
  <c r="G504" i="35"/>
  <c r="G42" i="35"/>
  <c r="G295" i="35"/>
  <c r="G482" i="35"/>
  <c r="G526" i="35"/>
  <c r="G372" i="35"/>
  <c r="G9" i="35"/>
  <c r="G659" i="35"/>
  <c r="G471" i="35"/>
  <c r="G97" i="35"/>
  <c r="G581" i="35"/>
  <c r="G53" i="35"/>
  <c r="G130" i="35"/>
  <c r="G307" i="35"/>
  <c r="G427" i="35"/>
  <c r="G515" i="35"/>
  <c r="G361" i="35"/>
  <c r="H86" i="21"/>
  <c r="I659" i="35"/>
  <c r="I670" i="35"/>
  <c r="F1206" i="36" s="1"/>
  <c r="O1206" i="36" s="1"/>
  <c r="I648" i="35"/>
  <c r="F1173" i="36" s="1"/>
  <c r="O1173" i="36" s="1"/>
  <c r="I637" i="35"/>
  <c r="F1141" i="36" s="1"/>
  <c r="O1141" i="36" s="1"/>
  <c r="E342" i="36"/>
  <c r="E551" i="36"/>
  <c r="E848" i="36"/>
  <c r="E496" i="36"/>
  <c r="E188" i="36"/>
  <c r="E166" i="36"/>
  <c r="E309" i="36"/>
  <c r="F1183" i="36"/>
  <c r="O1183" i="36" s="1"/>
  <c r="F1194" i="36"/>
  <c r="O1194" i="36" s="1"/>
  <c r="D112" i="37" s="1"/>
  <c r="F844" i="36"/>
  <c r="F492" i="36"/>
  <c r="F547" i="36"/>
  <c r="F184" i="36"/>
  <c r="F338" i="36"/>
  <c r="F162" i="36"/>
  <c r="F305" i="36"/>
  <c r="O1094" i="36"/>
  <c r="F1095" i="36"/>
  <c r="O1095" i="36" s="1"/>
  <c r="G547" i="35"/>
  <c r="G558" i="35"/>
  <c r="F562" i="35"/>
  <c r="F551" i="35"/>
  <c r="F206" i="36"/>
  <c r="O206" i="36" s="1"/>
  <c r="F1227" i="36"/>
  <c r="O1227" i="36" s="1"/>
  <c r="E210" i="36"/>
  <c r="N210" i="36" s="1"/>
  <c r="E1231" i="36"/>
  <c r="N1231" i="36" s="1"/>
  <c r="E1155" i="36"/>
  <c r="N1155" i="36" s="1"/>
  <c r="E1220" i="36"/>
  <c r="N1220" i="36" s="1"/>
  <c r="F1151" i="36"/>
  <c r="O1151" i="36" s="1"/>
  <c r="F1216" i="36"/>
  <c r="O1216" i="36" s="1"/>
  <c r="I547" i="35"/>
  <c r="F8" i="36" s="1"/>
  <c r="O8" i="36" s="1"/>
  <c r="I558" i="35"/>
  <c r="F19" i="36" s="1"/>
  <c r="O19" i="36" s="1"/>
  <c r="H562" i="35"/>
  <c r="E23" i="36" s="1"/>
  <c r="N23" i="36" s="1"/>
  <c r="H551" i="35"/>
  <c r="E12" i="36" s="1"/>
  <c r="N12" i="36" s="1"/>
  <c r="E122" i="36"/>
  <c r="N122" i="36" s="1"/>
  <c r="E804" i="36"/>
  <c r="N804" i="36" s="1"/>
  <c r="E782" i="36"/>
  <c r="N782" i="36" s="1"/>
  <c r="E793" i="36"/>
  <c r="N793" i="36" s="1"/>
  <c r="E1024" i="36"/>
  <c r="N1024" i="36" s="1"/>
  <c r="E1035" i="36"/>
  <c r="N1035" i="36" s="1"/>
  <c r="E672" i="36"/>
  <c r="N672" i="36" s="1"/>
  <c r="E683" i="36"/>
  <c r="N683" i="36" s="1"/>
  <c r="C56" i="37" s="1"/>
  <c r="E474" i="36"/>
  <c r="N474" i="36" s="1"/>
  <c r="E463" i="36"/>
  <c r="N463" i="36" s="1"/>
  <c r="E595" i="36"/>
  <c r="N595" i="36" s="1"/>
  <c r="E584" i="36"/>
  <c r="N584" i="36" s="1"/>
  <c r="E573" i="36"/>
  <c r="N573" i="36" s="1"/>
  <c r="E177" i="36"/>
  <c r="N177" i="36" s="1"/>
  <c r="N188" i="36"/>
  <c r="C12" i="37" s="1"/>
  <c r="E331" i="36"/>
  <c r="N331" i="36" s="1"/>
  <c r="N342" i="36"/>
  <c r="C34" i="37" s="1"/>
  <c r="E243" i="36"/>
  <c r="N243" i="36" s="1"/>
  <c r="E232" i="36"/>
  <c r="N232" i="36" s="1"/>
  <c r="E452" i="36"/>
  <c r="N452" i="36" s="1"/>
  <c r="C45" i="37" s="1"/>
  <c r="E628" i="36"/>
  <c r="N628" i="36" s="1"/>
  <c r="E815" i="36"/>
  <c r="N815" i="36" s="1"/>
  <c r="E606" i="36"/>
  <c r="N606" i="36" s="1"/>
  <c r="N166" i="36"/>
  <c r="E155" i="36"/>
  <c r="N155" i="36" s="1"/>
  <c r="E650" i="36"/>
  <c r="N650" i="36" s="1"/>
  <c r="E914" i="36"/>
  <c r="N914" i="36" s="1"/>
  <c r="E903" i="36"/>
  <c r="N903" i="36" s="1"/>
  <c r="E639" i="36"/>
  <c r="N639" i="36" s="1"/>
  <c r="E353" i="36"/>
  <c r="N353" i="36" s="1"/>
  <c r="E1090" i="36"/>
  <c r="N1090" i="36" s="1"/>
  <c r="E56" i="36"/>
  <c r="N56" i="36" s="1"/>
  <c r="E375" i="36"/>
  <c r="N375" i="36" s="1"/>
  <c r="E441" i="36"/>
  <c r="N441" i="36" s="1"/>
  <c r="E925" i="36"/>
  <c r="N925" i="36" s="1"/>
  <c r="E1122" i="36"/>
  <c r="N1122" i="36" s="1"/>
  <c r="E1133" i="36"/>
  <c r="N1133" i="36" s="1"/>
  <c r="E287" i="36"/>
  <c r="N287" i="36" s="1"/>
  <c r="E562" i="36"/>
  <c r="N562" i="36" s="1"/>
  <c r="C89" i="37" s="1"/>
  <c r="N309" i="36"/>
  <c r="E727" i="36"/>
  <c r="N727" i="36" s="1"/>
  <c r="C78" i="37" s="1"/>
  <c r="E694" i="36"/>
  <c r="N694" i="36" s="1"/>
  <c r="E705" i="36"/>
  <c r="N705" i="36" s="1"/>
  <c r="C67" i="37" s="1"/>
  <c r="E364" i="36"/>
  <c r="N364" i="36" s="1"/>
  <c r="E485" i="36"/>
  <c r="N485" i="36" s="1"/>
  <c r="E826" i="36"/>
  <c r="N826" i="36" s="1"/>
  <c r="N496" i="36"/>
  <c r="E408" i="36"/>
  <c r="N408" i="36" s="1"/>
  <c r="E419" i="36"/>
  <c r="N419" i="36" s="1"/>
  <c r="E1068" i="36"/>
  <c r="N1068" i="36" s="1"/>
  <c r="E507" i="36"/>
  <c r="N507" i="36" s="1"/>
  <c r="E518" i="36"/>
  <c r="N518" i="36" s="1"/>
  <c r="E397" i="36"/>
  <c r="N397" i="36" s="1"/>
  <c r="E386" i="36"/>
  <c r="N386" i="36" s="1"/>
  <c r="E738" i="36"/>
  <c r="N738" i="36" s="1"/>
  <c r="E749" i="36"/>
  <c r="N749" i="36" s="1"/>
  <c r="E89" i="36"/>
  <c r="N89" i="36" s="1"/>
  <c r="C23" i="37" s="1"/>
  <c r="E78" i="36"/>
  <c r="N78" i="36" s="1"/>
  <c r="E991" i="36"/>
  <c r="N991" i="36" s="1"/>
  <c r="E1002" i="36"/>
  <c r="N1002" i="36" s="1"/>
  <c r="E221" i="36"/>
  <c r="N221" i="36" s="1"/>
  <c r="C100" i="37" s="1"/>
  <c r="E133" i="36"/>
  <c r="N133" i="36" s="1"/>
  <c r="N551" i="36"/>
  <c r="E540" i="36"/>
  <c r="N540" i="36" s="1"/>
  <c r="E837" i="36"/>
  <c r="N837" i="36" s="1"/>
  <c r="E1079" i="36"/>
  <c r="N1079" i="36" s="1"/>
  <c r="N848" i="36"/>
  <c r="E1057" i="36"/>
  <c r="N1057" i="36" s="1"/>
  <c r="E100" i="36"/>
  <c r="N100" i="36" s="1"/>
  <c r="E320" i="36"/>
  <c r="N320" i="36" s="1"/>
  <c r="E298" i="36"/>
  <c r="N298" i="36" s="1"/>
  <c r="E980" i="36"/>
  <c r="N980" i="36" s="1"/>
  <c r="E859" i="36"/>
  <c r="N859" i="36" s="1"/>
  <c r="E958" i="36"/>
  <c r="N958" i="36" s="1"/>
  <c r="E870" i="36"/>
  <c r="N870" i="36" s="1"/>
  <c r="E969" i="36"/>
  <c r="N969" i="36" s="1"/>
  <c r="E936" i="36"/>
  <c r="N936" i="36" s="1"/>
  <c r="F723" i="36"/>
  <c r="O723" i="36" s="1"/>
  <c r="D74" i="37" s="1"/>
  <c r="F701" i="36"/>
  <c r="O701" i="36" s="1"/>
  <c r="D63" i="37" s="1"/>
  <c r="F690" i="36"/>
  <c r="O690" i="36" s="1"/>
  <c r="F173" i="36"/>
  <c r="O173" i="36" s="1"/>
  <c r="O184" i="36"/>
  <c r="D8" i="37" s="1"/>
  <c r="O547" i="36"/>
  <c r="F536" i="36"/>
  <c r="O536" i="36" s="1"/>
  <c r="F151" i="36"/>
  <c r="O151" i="36" s="1"/>
  <c r="O162" i="36"/>
  <c r="F811" i="36"/>
  <c r="O811" i="36" s="1"/>
  <c r="F624" i="36"/>
  <c r="O624" i="36" s="1"/>
  <c r="O844" i="36"/>
  <c r="F833" i="36"/>
  <c r="O833" i="36" s="1"/>
  <c r="F1075" i="36"/>
  <c r="O1075" i="36" s="1"/>
  <c r="F855" i="36"/>
  <c r="O855" i="36" s="1"/>
  <c r="F866" i="36"/>
  <c r="O866" i="36" s="1"/>
  <c r="F954" i="36"/>
  <c r="O954" i="36" s="1"/>
  <c r="V68" i="21"/>
  <c r="I603" i="35" s="1"/>
  <c r="F42" i="36" s="1"/>
  <c r="O42" i="36" s="1"/>
  <c r="Q68" i="21"/>
  <c r="I592" i="35" s="1"/>
  <c r="F31" i="36" s="1"/>
  <c r="O31" i="36" s="1"/>
  <c r="E69" i="21"/>
  <c r="L68" i="21"/>
  <c r="I31" i="35"/>
  <c r="I119" i="35"/>
  <c r="I141" i="35"/>
  <c r="F64" i="36" s="1"/>
  <c r="O64" i="36" s="1"/>
  <c r="I317" i="35"/>
  <c r="I174" i="35"/>
  <c r="I152" i="35"/>
  <c r="F273" i="36" s="1"/>
  <c r="O273" i="36" s="1"/>
  <c r="I295" i="35"/>
  <c r="I240" i="35"/>
  <c r="I339" i="35"/>
  <c r="I185" i="35"/>
  <c r="I273" i="35"/>
  <c r="I515" i="35"/>
  <c r="F427" i="36" s="1"/>
  <c r="O427" i="36" s="1"/>
  <c r="I196" i="35"/>
  <c r="I108" i="35"/>
  <c r="I570" i="35"/>
  <c r="I581" i="35"/>
  <c r="F878" i="36" s="1"/>
  <c r="O878" i="36" s="1"/>
  <c r="I460" i="35"/>
  <c r="I251" i="35"/>
  <c r="F141" i="36" s="1"/>
  <c r="O141" i="36" s="1"/>
  <c r="I383" i="35"/>
  <c r="F262" i="36" s="1"/>
  <c r="O262" i="36" s="1"/>
  <c r="I537" i="35"/>
  <c r="F889" i="36" s="1"/>
  <c r="O889" i="36" s="1"/>
  <c r="I262" i="35"/>
  <c r="F196" i="36" s="1"/>
  <c r="O196" i="36" s="1"/>
  <c r="I75" i="35"/>
  <c r="I438" i="35"/>
  <c r="I482" i="35"/>
  <c r="I626" i="35"/>
  <c r="I163" i="35"/>
  <c r="I229" i="35"/>
  <c r="F658" i="36" s="1"/>
  <c r="O658" i="36" s="1"/>
  <c r="I307" i="35"/>
  <c r="F1011" i="36" s="1"/>
  <c r="O1011" i="36" s="1"/>
  <c r="I350" i="35"/>
  <c r="I471" i="35"/>
  <c r="I394" i="35"/>
  <c r="I504" i="35"/>
  <c r="I405" i="35"/>
  <c r="F614" i="36" s="1"/>
  <c r="O614" i="36" s="1"/>
  <c r="I86" i="35"/>
  <c r="I449" i="35"/>
  <c r="I284" i="35"/>
  <c r="I416" i="35"/>
  <c r="I427" i="35"/>
  <c r="I614" i="35"/>
  <c r="F768" i="36" s="1"/>
  <c r="O768" i="36" s="1"/>
  <c r="I372" i="35"/>
  <c r="F713" i="36" s="1"/>
  <c r="O713" i="36" s="1"/>
  <c r="I9" i="35"/>
  <c r="F1239" i="36" s="1"/>
  <c r="O1239" i="36" s="1"/>
  <c r="I218" i="35"/>
  <c r="F1043" i="36" s="1"/>
  <c r="O1043" i="36" s="1"/>
  <c r="I526" i="35"/>
  <c r="I97" i="35"/>
  <c r="F757" i="36" s="1"/>
  <c r="O757" i="36" s="1"/>
  <c r="I130" i="35"/>
  <c r="F944" i="36" s="1"/>
  <c r="O944" i="36" s="1"/>
  <c r="I64" i="35"/>
  <c r="F251" i="36" s="1"/>
  <c r="O251" i="36" s="1"/>
  <c r="I42" i="35"/>
  <c r="I328" i="35"/>
  <c r="I361" i="35"/>
  <c r="F108" i="36" s="1"/>
  <c r="O108" i="36" s="1"/>
  <c r="I207" i="35"/>
  <c r="I53" i="35"/>
  <c r="I20" i="35"/>
  <c r="F526" i="36" s="1"/>
  <c r="O526" i="36" s="1"/>
  <c r="I493" i="35"/>
  <c r="F283" i="36"/>
  <c r="O283" i="36" s="1"/>
  <c r="O305" i="36"/>
  <c r="F558" i="36"/>
  <c r="O558" i="36" s="1"/>
  <c r="D85" i="37" s="1"/>
  <c r="F393" i="36"/>
  <c r="O393" i="36" s="1"/>
  <c r="F382" i="36"/>
  <c r="O382" i="36" s="1"/>
  <c r="F371" i="36"/>
  <c r="O371" i="36" s="1"/>
  <c r="F921" i="36"/>
  <c r="O921" i="36" s="1"/>
  <c r="F437" i="36"/>
  <c r="O437" i="36" s="1"/>
  <c r="F1118" i="36"/>
  <c r="O1118" i="36" s="1"/>
  <c r="F1129" i="36"/>
  <c r="O1129" i="36" s="1"/>
  <c r="F360" i="36"/>
  <c r="O360" i="36" s="1"/>
  <c r="F514" i="36"/>
  <c r="O514" i="36" s="1"/>
  <c r="F503" i="36"/>
  <c r="O503" i="36" s="1"/>
  <c r="F1020" i="36"/>
  <c r="O1020" i="36" s="1"/>
  <c r="F1031" i="36"/>
  <c r="O1031" i="36" s="1"/>
  <c r="F602" i="36"/>
  <c r="O602" i="36" s="1"/>
  <c r="F789" i="36"/>
  <c r="O789" i="36" s="1"/>
  <c r="F778" i="36"/>
  <c r="O778" i="36" s="1"/>
  <c r="F965" i="36"/>
  <c r="O965" i="36" s="1"/>
  <c r="F932" i="36"/>
  <c r="O932" i="36" s="1"/>
  <c r="F745" i="36"/>
  <c r="O745" i="36" s="1"/>
  <c r="F734" i="36"/>
  <c r="O734" i="36" s="1"/>
  <c r="F404" i="36"/>
  <c r="O404" i="36" s="1"/>
  <c r="F1064" i="36"/>
  <c r="O1064" i="36" s="1"/>
  <c r="F415" i="36"/>
  <c r="O415" i="36" s="1"/>
  <c r="F899" i="36"/>
  <c r="O899" i="36" s="1"/>
  <c r="F635" i="36"/>
  <c r="O635" i="36" s="1"/>
  <c r="F910" i="36"/>
  <c r="O910" i="36" s="1"/>
  <c r="F646" i="36"/>
  <c r="O646" i="36" s="1"/>
  <c r="F228" i="36"/>
  <c r="O228" i="36" s="1"/>
  <c r="F448" i="36"/>
  <c r="O448" i="36" s="1"/>
  <c r="D41" i="37" s="1"/>
  <c r="F239" i="36"/>
  <c r="O239" i="36" s="1"/>
  <c r="F987" i="36"/>
  <c r="O987" i="36" s="1"/>
  <c r="F998" i="36"/>
  <c r="O998" i="36" s="1"/>
  <c r="F976" i="36"/>
  <c r="O976" i="36" s="1"/>
  <c r="F316" i="36"/>
  <c r="O316" i="36" s="1"/>
  <c r="F294" i="36"/>
  <c r="O294" i="36" s="1"/>
  <c r="D69" i="21"/>
  <c r="P68" i="21"/>
  <c r="G592" i="35" s="1"/>
  <c r="K68" i="21"/>
  <c r="U68" i="21"/>
  <c r="G603" i="35" s="1"/>
  <c r="F74" i="36"/>
  <c r="O74" i="36" s="1"/>
  <c r="F85" i="36"/>
  <c r="O85" i="36" s="1"/>
  <c r="D19" i="37" s="1"/>
  <c r="F668" i="36"/>
  <c r="O668" i="36" s="1"/>
  <c r="F679" i="36"/>
  <c r="O679" i="36" s="1"/>
  <c r="D52" i="37" s="1"/>
  <c r="F459" i="36"/>
  <c r="O459" i="36" s="1"/>
  <c r="F470" i="36"/>
  <c r="O470" i="36" s="1"/>
  <c r="F118" i="36"/>
  <c r="O118" i="36" s="1"/>
  <c r="F800" i="36"/>
  <c r="O800" i="36" s="1"/>
  <c r="F349" i="36"/>
  <c r="O349" i="36" s="1"/>
  <c r="F52" i="36"/>
  <c r="O52" i="36" s="1"/>
  <c r="F1086" i="36"/>
  <c r="O1086" i="36" s="1"/>
  <c r="F591" i="36"/>
  <c r="O591" i="36" s="1"/>
  <c r="F569" i="36"/>
  <c r="O569" i="36" s="1"/>
  <c r="F580" i="36"/>
  <c r="O580" i="36" s="1"/>
  <c r="F217" i="36"/>
  <c r="O217" i="36" s="1"/>
  <c r="D96" i="37" s="1"/>
  <c r="F129" i="36"/>
  <c r="O129" i="36" s="1"/>
  <c r="O338" i="36"/>
  <c r="D30" i="37" s="1"/>
  <c r="F327" i="36"/>
  <c r="O327" i="36" s="1"/>
  <c r="F1053" i="36"/>
  <c r="O1053" i="36" s="1"/>
  <c r="F96" i="36"/>
  <c r="O96" i="36" s="1"/>
  <c r="O492" i="36"/>
  <c r="F822" i="36"/>
  <c r="O822" i="36" s="1"/>
  <c r="F481" i="36"/>
  <c r="O481" i="36" s="1"/>
  <c r="G230" i="35" l="1"/>
  <c r="G76" i="35"/>
  <c r="G571" i="35"/>
  <c r="G120" i="35"/>
  <c r="G219" i="35"/>
  <c r="G450" i="35"/>
  <c r="G285" i="35"/>
  <c r="G109" i="35"/>
  <c r="G638" i="35"/>
  <c r="G671" i="35"/>
  <c r="G65" i="35"/>
  <c r="G274" i="35"/>
  <c r="G87" i="35"/>
  <c r="G241" i="35"/>
  <c r="G417" i="35"/>
  <c r="G615" i="35"/>
  <c r="G142" i="35"/>
  <c r="G329" i="35"/>
  <c r="G406" i="35"/>
  <c r="G395" i="35"/>
  <c r="G208" i="35"/>
  <c r="G32" i="35"/>
  <c r="G164" i="35"/>
  <c r="G439" i="35"/>
  <c r="G252" i="35"/>
  <c r="G340" i="35"/>
  <c r="G461" i="35"/>
  <c r="G186" i="35"/>
  <c r="G649" i="35"/>
  <c r="G494" i="35"/>
  <c r="G384" i="35"/>
  <c r="G351" i="35"/>
  <c r="G263" i="35"/>
  <c r="G21" i="35"/>
  <c r="G627" i="35"/>
  <c r="G175" i="35"/>
  <c r="G153" i="35"/>
  <c r="G516" i="35"/>
  <c r="G296" i="35"/>
  <c r="G98" i="35"/>
  <c r="G54" i="35"/>
  <c r="G131" i="35"/>
  <c r="G10" i="35"/>
  <c r="G660" i="35"/>
  <c r="G197" i="35"/>
  <c r="G527" i="35"/>
  <c r="G308" i="35"/>
  <c r="G538" i="35"/>
  <c r="G483" i="35"/>
  <c r="G472" i="35"/>
  <c r="G505" i="35"/>
  <c r="G428" i="35"/>
  <c r="G318" i="35"/>
  <c r="G582" i="35"/>
  <c r="G362" i="35"/>
  <c r="G373" i="35"/>
  <c r="G43" i="35"/>
  <c r="F1184" i="36"/>
  <c r="O1184" i="36" s="1"/>
  <c r="F1195" i="36"/>
  <c r="O1195" i="36" s="1"/>
  <c r="D113" i="37" s="1"/>
  <c r="H87" i="21"/>
  <c r="I660" i="35"/>
  <c r="I671" i="35"/>
  <c r="F1207" i="36" s="1"/>
  <c r="O1207" i="36" s="1"/>
  <c r="I638" i="35"/>
  <c r="F1142" i="36" s="1"/>
  <c r="O1142" i="36" s="1"/>
  <c r="I649" i="35"/>
  <c r="F1174" i="36" s="1"/>
  <c r="O1174" i="36" s="1"/>
  <c r="F548" i="36"/>
  <c r="F845" i="36"/>
  <c r="F493" i="36"/>
  <c r="O493" i="36" s="1"/>
  <c r="F339" i="36"/>
  <c r="F185" i="36"/>
  <c r="F306" i="36"/>
  <c r="F163" i="36"/>
  <c r="O163" i="36" s="1"/>
  <c r="E1092" i="36"/>
  <c r="N1092" i="36" s="1"/>
  <c r="E1107" i="36"/>
  <c r="E1157" i="36"/>
  <c r="E1097" i="36"/>
  <c r="E1162" i="36"/>
  <c r="E1102" i="36"/>
  <c r="B82" i="21"/>
  <c r="C81" i="21"/>
  <c r="D81" i="21"/>
  <c r="G548" i="35"/>
  <c r="G559" i="35"/>
  <c r="F207" i="36"/>
  <c r="O207" i="36" s="1"/>
  <c r="F1228" i="36"/>
  <c r="O1228" i="36" s="1"/>
  <c r="F1152" i="36"/>
  <c r="O1152" i="36" s="1"/>
  <c r="F1217" i="36"/>
  <c r="O1217" i="36" s="1"/>
  <c r="I548" i="35"/>
  <c r="F9" i="36" s="1"/>
  <c r="O9" i="36" s="1"/>
  <c r="I559" i="35"/>
  <c r="F20" i="36" s="1"/>
  <c r="O20" i="36" s="1"/>
  <c r="F988" i="36"/>
  <c r="O988" i="36" s="1"/>
  <c r="F999" i="36"/>
  <c r="O999" i="36" s="1"/>
  <c r="F449" i="36"/>
  <c r="O449" i="36" s="1"/>
  <c r="D42" i="37" s="1"/>
  <c r="F229" i="36"/>
  <c r="O229" i="36" s="1"/>
  <c r="F240" i="36"/>
  <c r="O240" i="36" s="1"/>
  <c r="F823" i="36"/>
  <c r="O823" i="36" s="1"/>
  <c r="F482" i="36"/>
  <c r="O482" i="36" s="1"/>
  <c r="F636" i="36"/>
  <c r="O636" i="36" s="1"/>
  <c r="F900" i="36"/>
  <c r="O900" i="36" s="1"/>
  <c r="F911" i="36"/>
  <c r="O911" i="36" s="1"/>
  <c r="F647" i="36"/>
  <c r="O647" i="36" s="1"/>
  <c r="F119" i="36"/>
  <c r="O119" i="36" s="1"/>
  <c r="F801" i="36"/>
  <c r="O801" i="36" s="1"/>
  <c r="F537" i="36"/>
  <c r="O537" i="36" s="1"/>
  <c r="O548" i="36"/>
  <c r="F867" i="36"/>
  <c r="O867" i="36" s="1"/>
  <c r="F955" i="36"/>
  <c r="O955" i="36" s="1"/>
  <c r="F856" i="36"/>
  <c r="O856" i="36" s="1"/>
  <c r="F790" i="36"/>
  <c r="O790" i="36" s="1"/>
  <c r="F779" i="36"/>
  <c r="O779" i="36" s="1"/>
  <c r="F966" i="36"/>
  <c r="O966" i="36" s="1"/>
  <c r="F933" i="36"/>
  <c r="O933" i="36" s="1"/>
  <c r="O306" i="36"/>
  <c r="F559" i="36"/>
  <c r="O559" i="36" s="1"/>
  <c r="D86" i="37" s="1"/>
  <c r="F284" i="36"/>
  <c r="O284" i="36" s="1"/>
  <c r="F372" i="36"/>
  <c r="O372" i="36" s="1"/>
  <c r="F97" i="36"/>
  <c r="O97" i="36" s="1"/>
  <c r="F1054" i="36"/>
  <c r="O1054" i="36" s="1"/>
  <c r="F922" i="36"/>
  <c r="O922" i="36" s="1"/>
  <c r="F438" i="36"/>
  <c r="O438" i="36" s="1"/>
  <c r="F1119" i="36"/>
  <c r="O1119" i="36" s="1"/>
  <c r="F1130" i="36"/>
  <c r="O1130" i="36" s="1"/>
  <c r="F328" i="36"/>
  <c r="O328" i="36" s="1"/>
  <c r="O339" i="36"/>
  <c r="D31" i="37" s="1"/>
  <c r="F1076" i="36"/>
  <c r="O1076" i="36" s="1"/>
  <c r="O845" i="36"/>
  <c r="F834" i="36"/>
  <c r="O834" i="36" s="1"/>
  <c r="F471" i="36"/>
  <c r="O471" i="36" s="1"/>
  <c r="F460" i="36"/>
  <c r="O460" i="36" s="1"/>
  <c r="F504" i="36"/>
  <c r="O504" i="36" s="1"/>
  <c r="F515" i="36"/>
  <c r="O515" i="36" s="1"/>
  <c r="F746" i="36"/>
  <c r="O746" i="36" s="1"/>
  <c r="F735" i="36"/>
  <c r="O735" i="36" s="1"/>
  <c r="F724" i="36"/>
  <c r="O724" i="36" s="1"/>
  <c r="D75" i="37" s="1"/>
  <c r="F691" i="36"/>
  <c r="O691" i="36" s="1"/>
  <c r="F702" i="36"/>
  <c r="O702" i="36" s="1"/>
  <c r="D64" i="37" s="1"/>
  <c r="F581" i="36"/>
  <c r="O581" i="36" s="1"/>
  <c r="F570" i="36"/>
  <c r="O570" i="36" s="1"/>
  <c r="F592" i="36"/>
  <c r="O592" i="36" s="1"/>
  <c r="F152" i="36"/>
  <c r="O152" i="36" s="1"/>
  <c r="F977" i="36"/>
  <c r="O977" i="36" s="1"/>
  <c r="F317" i="36"/>
  <c r="O317" i="36" s="1"/>
  <c r="F295" i="36"/>
  <c r="O295" i="36" s="1"/>
  <c r="F1087" i="36"/>
  <c r="O1087" i="36" s="1"/>
  <c r="F350" i="36"/>
  <c r="O350" i="36" s="1"/>
  <c r="F53" i="36"/>
  <c r="O53" i="36" s="1"/>
  <c r="F812" i="36"/>
  <c r="O812" i="36" s="1"/>
  <c r="F625" i="36"/>
  <c r="O625" i="36" s="1"/>
  <c r="U69" i="21"/>
  <c r="G604" i="35" s="1"/>
  <c r="D70" i="21"/>
  <c r="P69" i="21"/>
  <c r="G593" i="35" s="1"/>
  <c r="K69" i="21"/>
  <c r="F669" i="36"/>
  <c r="O669" i="36" s="1"/>
  <c r="F680" i="36"/>
  <c r="O680" i="36" s="1"/>
  <c r="D53" i="37" s="1"/>
  <c r="F86" i="36"/>
  <c r="O86" i="36" s="1"/>
  <c r="D20" i="37" s="1"/>
  <c r="F75" i="36"/>
  <c r="O75" i="36" s="1"/>
  <c r="F383" i="36"/>
  <c r="O383" i="36" s="1"/>
  <c r="F394" i="36"/>
  <c r="O394" i="36" s="1"/>
  <c r="O185" i="36"/>
  <c r="D9" i="37" s="1"/>
  <c r="F174" i="36"/>
  <c r="O174" i="36" s="1"/>
  <c r="F130" i="36"/>
  <c r="O130" i="36" s="1"/>
  <c r="F218" i="36"/>
  <c r="O218" i="36" s="1"/>
  <c r="D97" i="37" s="1"/>
  <c r="F361" i="36"/>
  <c r="O361" i="36" s="1"/>
  <c r="F1032" i="36"/>
  <c r="O1032" i="36" s="1"/>
  <c r="F1021" i="36"/>
  <c r="O1021" i="36" s="1"/>
  <c r="F603" i="36"/>
  <c r="O603" i="36" s="1"/>
  <c r="F405" i="36"/>
  <c r="O405" i="36" s="1"/>
  <c r="F416" i="36"/>
  <c r="O416" i="36" s="1"/>
  <c r="F1065" i="36"/>
  <c r="O1065" i="36" s="1"/>
  <c r="E70" i="21"/>
  <c r="L69" i="21"/>
  <c r="V69" i="21"/>
  <c r="I604" i="35" s="1"/>
  <c r="F43" i="36" s="1"/>
  <c r="O43" i="36" s="1"/>
  <c r="Q69" i="21"/>
  <c r="I593" i="35" s="1"/>
  <c r="F32" i="36" s="1"/>
  <c r="O32" i="36" s="1"/>
  <c r="I406" i="35"/>
  <c r="F615" i="36" s="1"/>
  <c r="O615" i="36" s="1"/>
  <c r="I296" i="35"/>
  <c r="I109" i="35"/>
  <c r="I186" i="35"/>
  <c r="I32" i="35"/>
  <c r="I153" i="35"/>
  <c r="F274" i="36" s="1"/>
  <c r="O274" i="36" s="1"/>
  <c r="I472" i="35"/>
  <c r="I318" i="35"/>
  <c r="I142" i="35"/>
  <c r="F65" i="36" s="1"/>
  <c r="O65" i="36" s="1"/>
  <c r="I120" i="35"/>
  <c r="I340" i="35"/>
  <c r="I384" i="35"/>
  <c r="F263" i="36" s="1"/>
  <c r="O263" i="36" s="1"/>
  <c r="I461" i="35"/>
  <c r="I516" i="35"/>
  <c r="F428" i="36" s="1"/>
  <c r="O428" i="36" s="1"/>
  <c r="I505" i="35"/>
  <c r="I571" i="35"/>
  <c r="I538" i="35"/>
  <c r="F890" i="36" s="1"/>
  <c r="O890" i="36" s="1"/>
  <c r="I439" i="35"/>
  <c r="I164" i="35"/>
  <c r="I175" i="35"/>
  <c r="I395" i="35"/>
  <c r="I241" i="35"/>
  <c r="I76" i="35"/>
  <c r="I428" i="35"/>
  <c r="I450" i="35"/>
  <c r="I483" i="35"/>
  <c r="I230" i="35"/>
  <c r="F659" i="36" s="1"/>
  <c r="O659" i="36" s="1"/>
  <c r="I87" i="35"/>
  <c r="I252" i="35"/>
  <c r="F142" i="36" s="1"/>
  <c r="O142" i="36" s="1"/>
  <c r="I274" i="35"/>
  <c r="I627" i="35"/>
  <c r="I285" i="35"/>
  <c r="I308" i="35"/>
  <c r="F1012" i="36" s="1"/>
  <c r="O1012" i="36" s="1"/>
  <c r="I417" i="35"/>
  <c r="I351" i="35"/>
  <c r="I582" i="35"/>
  <c r="F879" i="36" s="1"/>
  <c r="O879" i="36" s="1"/>
  <c r="I197" i="35"/>
  <c r="I263" i="35"/>
  <c r="F197" i="36" s="1"/>
  <c r="O197" i="36" s="1"/>
  <c r="I43" i="35"/>
  <c r="I527" i="35"/>
  <c r="I329" i="35"/>
  <c r="I21" i="35"/>
  <c r="F527" i="36" s="1"/>
  <c r="O527" i="36" s="1"/>
  <c r="I362" i="35"/>
  <c r="F109" i="36" s="1"/>
  <c r="O109" i="36" s="1"/>
  <c r="I54" i="35"/>
  <c r="I65" i="35"/>
  <c r="F252" i="36" s="1"/>
  <c r="O252" i="36" s="1"/>
  <c r="I131" i="35"/>
  <c r="F945" i="36" s="1"/>
  <c r="O945" i="36" s="1"/>
  <c r="I219" i="35"/>
  <c r="F1044" i="36" s="1"/>
  <c r="O1044" i="36" s="1"/>
  <c r="I615" i="35"/>
  <c r="F769" i="36" s="1"/>
  <c r="O769" i="36" s="1"/>
  <c r="I373" i="35"/>
  <c r="F714" i="36" s="1"/>
  <c r="O714" i="36" s="1"/>
  <c r="I208" i="35"/>
  <c r="I98" i="35"/>
  <c r="F758" i="36" s="1"/>
  <c r="O758" i="36" s="1"/>
  <c r="I10" i="35"/>
  <c r="F1240" i="36" s="1"/>
  <c r="O1240" i="36" s="1"/>
  <c r="I494" i="35"/>
  <c r="G672" i="35" l="1"/>
  <c r="G572" i="35"/>
  <c r="G121" i="35"/>
  <c r="G275" i="35"/>
  <c r="G143" i="35"/>
  <c r="G396" i="35"/>
  <c r="G187" i="35"/>
  <c r="G231" i="35"/>
  <c r="G66" i="35"/>
  <c r="G88" i="35"/>
  <c r="G286" i="35"/>
  <c r="G616" i="35"/>
  <c r="G330" i="35"/>
  <c r="G418" i="35"/>
  <c r="G639" i="35"/>
  <c r="G451" i="35"/>
  <c r="G242" i="35"/>
  <c r="G110" i="35"/>
  <c r="G77" i="35"/>
  <c r="G33" i="35"/>
  <c r="G440" i="35"/>
  <c r="G628" i="35"/>
  <c r="G176" i="35"/>
  <c r="G462" i="35"/>
  <c r="G22" i="35"/>
  <c r="G253" i="35"/>
  <c r="G407" i="35"/>
  <c r="G352" i="35"/>
  <c r="G264" i="35"/>
  <c r="G385" i="35"/>
  <c r="G341" i="35"/>
  <c r="G209" i="35"/>
  <c r="G650" i="35"/>
  <c r="G165" i="35"/>
  <c r="G495" i="35"/>
  <c r="G11" i="35"/>
  <c r="G661" i="35"/>
  <c r="G363" i="35"/>
  <c r="G539" i="35"/>
  <c r="G517" i="35"/>
  <c r="G484" i="35"/>
  <c r="G506" i="35"/>
  <c r="G44" i="35"/>
  <c r="G319" i="35"/>
  <c r="G528" i="35"/>
  <c r="G583" i="35"/>
  <c r="G374" i="35"/>
  <c r="G154" i="35"/>
  <c r="G198" i="35"/>
  <c r="G220" i="35"/>
  <c r="G297" i="35"/>
  <c r="G473" i="35"/>
  <c r="G99" i="35"/>
  <c r="G55" i="35"/>
  <c r="G132" i="35"/>
  <c r="G309" i="35"/>
  <c r="G429" i="35"/>
  <c r="B83" i="21"/>
  <c r="C82" i="21"/>
  <c r="D82" i="21"/>
  <c r="N1157" i="36"/>
  <c r="C102" i="37" s="1"/>
  <c r="F1157" i="36"/>
  <c r="O1157" i="36" s="1"/>
  <c r="D102" i="37" s="1"/>
  <c r="F846" i="36"/>
  <c r="F494" i="36"/>
  <c r="F549" i="36"/>
  <c r="F186" i="36"/>
  <c r="F164" i="36"/>
  <c r="F340" i="36"/>
  <c r="F307" i="36"/>
  <c r="F1102" i="36"/>
  <c r="O1102" i="36" s="1"/>
  <c r="N1102" i="36"/>
  <c r="N1107" i="36"/>
  <c r="F1107" i="36"/>
  <c r="O1107" i="36" s="1"/>
  <c r="E1093" i="36"/>
  <c r="N1093" i="36" s="1"/>
  <c r="E1158" i="36"/>
  <c r="E1108" i="36"/>
  <c r="F1162" i="36"/>
  <c r="O1162" i="36" s="1"/>
  <c r="N1162" i="36"/>
  <c r="H88" i="21"/>
  <c r="I661" i="35"/>
  <c r="I672" i="35"/>
  <c r="F1208" i="36" s="1"/>
  <c r="O1208" i="36" s="1"/>
  <c r="I650" i="35"/>
  <c r="F1175" i="36" s="1"/>
  <c r="O1175" i="36" s="1"/>
  <c r="I639" i="35"/>
  <c r="F1143" i="36" s="1"/>
  <c r="O1143" i="36" s="1"/>
  <c r="E1098" i="36"/>
  <c r="E1163" i="36"/>
  <c r="E1103" i="36"/>
  <c r="F1097" i="36"/>
  <c r="O1097" i="36" s="1"/>
  <c r="N1097" i="36"/>
  <c r="F1185" i="36"/>
  <c r="O1185" i="36" s="1"/>
  <c r="F1196" i="36"/>
  <c r="O1196" i="36" s="1"/>
  <c r="D114" i="37" s="1"/>
  <c r="G560" i="35"/>
  <c r="G549" i="35"/>
  <c r="F208" i="36"/>
  <c r="O208" i="36" s="1"/>
  <c r="F1229" i="36"/>
  <c r="O1229" i="36" s="1"/>
  <c r="F1153" i="36"/>
  <c r="O1153" i="36" s="1"/>
  <c r="F1218" i="36"/>
  <c r="O1218" i="36" s="1"/>
  <c r="I560" i="35"/>
  <c r="F21" i="36" s="1"/>
  <c r="O21" i="36" s="1"/>
  <c r="I549" i="35"/>
  <c r="F10" i="36" s="1"/>
  <c r="O10" i="36" s="1"/>
  <c r="O186" i="36"/>
  <c r="D10" i="37" s="1"/>
  <c r="F175" i="36"/>
  <c r="O175" i="36" s="1"/>
  <c r="F219" i="36"/>
  <c r="O219" i="36" s="1"/>
  <c r="D98" i="37" s="1"/>
  <c r="F131" i="36"/>
  <c r="O131" i="36" s="1"/>
  <c r="F329" i="36"/>
  <c r="O329" i="36" s="1"/>
  <c r="O340" i="36"/>
  <c r="D32" i="37" s="1"/>
  <c r="F505" i="36"/>
  <c r="O505" i="36" s="1"/>
  <c r="F516" i="36"/>
  <c r="O516" i="36" s="1"/>
  <c r="E71" i="21"/>
  <c r="V70" i="21"/>
  <c r="I605" i="35" s="1"/>
  <c r="F44" i="36" s="1"/>
  <c r="O44" i="36" s="1"/>
  <c r="L70" i="21"/>
  <c r="Q70" i="21"/>
  <c r="I594" i="35" s="1"/>
  <c r="F33" i="36" s="1"/>
  <c r="O33" i="36" s="1"/>
  <c r="I407" i="35"/>
  <c r="F616" i="36" s="1"/>
  <c r="O616" i="36" s="1"/>
  <c r="I154" i="35"/>
  <c r="F275" i="36" s="1"/>
  <c r="O275" i="36" s="1"/>
  <c r="I309" i="35"/>
  <c r="F1013" i="36" s="1"/>
  <c r="O1013" i="36" s="1"/>
  <c r="I121" i="35"/>
  <c r="I33" i="35"/>
  <c r="I341" i="35"/>
  <c r="I583" i="35"/>
  <c r="F880" i="36" s="1"/>
  <c r="O880" i="36" s="1"/>
  <c r="I187" i="35"/>
  <c r="I143" i="35"/>
  <c r="F66" i="36" s="1"/>
  <c r="O66" i="36" s="1"/>
  <c r="I319" i="35"/>
  <c r="I110" i="35"/>
  <c r="I506" i="35"/>
  <c r="I253" i="35"/>
  <c r="F143" i="36" s="1"/>
  <c r="O143" i="36" s="1"/>
  <c r="I539" i="35"/>
  <c r="F891" i="36" s="1"/>
  <c r="O891" i="36" s="1"/>
  <c r="I198" i="35"/>
  <c r="I473" i="35"/>
  <c r="I462" i="35"/>
  <c r="I572" i="35"/>
  <c r="I275" i="35"/>
  <c r="I385" i="35"/>
  <c r="F264" i="36" s="1"/>
  <c r="O264" i="36" s="1"/>
  <c r="I297" i="35"/>
  <c r="I628" i="35"/>
  <c r="I77" i="35"/>
  <c r="I429" i="35"/>
  <c r="I484" i="35"/>
  <c r="I176" i="35"/>
  <c r="I286" i="35"/>
  <c r="I242" i="35"/>
  <c r="I88" i="35"/>
  <c r="I264" i="35"/>
  <c r="F198" i="36" s="1"/>
  <c r="O198" i="36" s="1"/>
  <c r="I352" i="35"/>
  <c r="I44" i="35"/>
  <c r="I418" i="35"/>
  <c r="I517" i="35"/>
  <c r="F429" i="36" s="1"/>
  <c r="O429" i="36" s="1"/>
  <c r="I440" i="35"/>
  <c r="I231" i="35"/>
  <c r="F660" i="36" s="1"/>
  <c r="O660" i="36" s="1"/>
  <c r="I396" i="35"/>
  <c r="I165" i="35"/>
  <c r="I451" i="35"/>
  <c r="I330" i="35"/>
  <c r="I132" i="35"/>
  <c r="F946" i="36" s="1"/>
  <c r="O946" i="36" s="1"/>
  <c r="I209" i="35"/>
  <c r="I11" i="35"/>
  <c r="F1241" i="36" s="1"/>
  <c r="O1241" i="36" s="1"/>
  <c r="I616" i="35"/>
  <c r="F770" i="36" s="1"/>
  <c r="O770" i="36" s="1"/>
  <c r="I220" i="35"/>
  <c r="F1045" i="36" s="1"/>
  <c r="O1045" i="36" s="1"/>
  <c r="I363" i="35"/>
  <c r="F110" i="36" s="1"/>
  <c r="O110" i="36" s="1"/>
  <c r="I99" i="35"/>
  <c r="F759" i="36" s="1"/>
  <c r="O759" i="36" s="1"/>
  <c r="I374" i="35"/>
  <c r="F715" i="36" s="1"/>
  <c r="O715" i="36" s="1"/>
  <c r="I528" i="35"/>
  <c r="I22" i="35"/>
  <c r="F528" i="36" s="1"/>
  <c r="O528" i="36" s="1"/>
  <c r="I55" i="35"/>
  <c r="I66" i="35"/>
  <c r="F253" i="36" s="1"/>
  <c r="O253" i="36" s="1"/>
  <c r="I495" i="35"/>
  <c r="F989" i="36"/>
  <c r="O989" i="36" s="1"/>
  <c r="F1000" i="36"/>
  <c r="O1000" i="36" s="1"/>
  <c r="F703" i="36"/>
  <c r="O703" i="36" s="1"/>
  <c r="D65" i="37" s="1"/>
  <c r="F725" i="36"/>
  <c r="O725" i="36" s="1"/>
  <c r="D76" i="37" s="1"/>
  <c r="F692" i="36"/>
  <c r="O692" i="36" s="1"/>
  <c r="F373" i="36"/>
  <c r="O373" i="36" s="1"/>
  <c r="F670" i="36"/>
  <c r="O670" i="36" s="1"/>
  <c r="F681" i="36"/>
  <c r="O681" i="36" s="1"/>
  <c r="D54" i="37" s="1"/>
  <c r="F395" i="36"/>
  <c r="O395" i="36" s="1"/>
  <c r="F384" i="36"/>
  <c r="O384" i="36" s="1"/>
  <c r="F593" i="36"/>
  <c r="O593" i="36" s="1"/>
  <c r="F571" i="36"/>
  <c r="O571" i="36" s="1"/>
  <c r="F582" i="36"/>
  <c r="O582" i="36" s="1"/>
  <c r="F824" i="36"/>
  <c r="O824" i="36" s="1"/>
  <c r="O494" i="36"/>
  <c r="F483" i="36"/>
  <c r="O483" i="36" s="1"/>
  <c r="F230" i="36"/>
  <c r="O230" i="36" s="1"/>
  <c r="F450" i="36"/>
  <c r="O450" i="36" s="1"/>
  <c r="D43" i="37" s="1"/>
  <c r="F241" i="36"/>
  <c r="O241" i="36" s="1"/>
  <c r="F461" i="36"/>
  <c r="O461" i="36" s="1"/>
  <c r="F472" i="36"/>
  <c r="O472" i="36" s="1"/>
  <c r="F1022" i="36"/>
  <c r="O1022" i="36" s="1"/>
  <c r="F1033" i="36"/>
  <c r="O1033" i="36" s="1"/>
  <c r="F813" i="36"/>
  <c r="O813" i="36" s="1"/>
  <c r="F626" i="36"/>
  <c r="O626" i="36" s="1"/>
  <c r="F791" i="36"/>
  <c r="O791" i="36" s="1"/>
  <c r="F780" i="36"/>
  <c r="O780" i="36" s="1"/>
  <c r="F285" i="36"/>
  <c r="O285" i="36" s="1"/>
  <c r="F560" i="36"/>
  <c r="O560" i="36" s="1"/>
  <c r="D87" i="37" s="1"/>
  <c r="O307" i="36"/>
  <c r="F747" i="36"/>
  <c r="O747" i="36" s="1"/>
  <c r="F736" i="36"/>
  <c r="O736" i="36" s="1"/>
  <c r="F76" i="36"/>
  <c r="O76" i="36" s="1"/>
  <c r="F87" i="36"/>
  <c r="O87" i="36" s="1"/>
  <c r="D21" i="37" s="1"/>
  <c r="F439" i="36"/>
  <c r="O439" i="36" s="1"/>
  <c r="F923" i="36"/>
  <c r="O923" i="36" s="1"/>
  <c r="F1120" i="36"/>
  <c r="O1120" i="36" s="1"/>
  <c r="F1131" i="36"/>
  <c r="O1131" i="36" s="1"/>
  <c r="O549" i="36"/>
  <c r="F538" i="36"/>
  <c r="O538" i="36" s="1"/>
  <c r="F802" i="36"/>
  <c r="O802" i="36" s="1"/>
  <c r="F120" i="36"/>
  <c r="O120" i="36" s="1"/>
  <c r="O164" i="36"/>
  <c r="F153" i="36"/>
  <c r="O153" i="36" s="1"/>
  <c r="F835" i="36"/>
  <c r="O835" i="36" s="1"/>
  <c r="F1077" i="36"/>
  <c r="O1077" i="36" s="1"/>
  <c r="O846" i="36"/>
  <c r="F912" i="36"/>
  <c r="O912" i="36" s="1"/>
  <c r="F901" i="36"/>
  <c r="O901" i="36" s="1"/>
  <c r="F648" i="36"/>
  <c r="O648" i="36" s="1"/>
  <c r="F637" i="36"/>
  <c r="O637" i="36" s="1"/>
  <c r="F857" i="36"/>
  <c r="O857" i="36" s="1"/>
  <c r="F956" i="36"/>
  <c r="O956" i="36" s="1"/>
  <c r="F868" i="36"/>
  <c r="O868" i="36" s="1"/>
  <c r="F98" i="36"/>
  <c r="O98" i="36" s="1"/>
  <c r="F1055" i="36"/>
  <c r="O1055" i="36" s="1"/>
  <c r="F604" i="36"/>
  <c r="O604" i="36" s="1"/>
  <c r="F318" i="36"/>
  <c r="O318" i="36" s="1"/>
  <c r="F296" i="36"/>
  <c r="O296" i="36" s="1"/>
  <c r="F978" i="36"/>
  <c r="O978" i="36" s="1"/>
  <c r="F54" i="36"/>
  <c r="O54" i="36" s="1"/>
  <c r="F1088" i="36"/>
  <c r="O1088" i="36" s="1"/>
  <c r="F351" i="36"/>
  <c r="O351" i="36" s="1"/>
  <c r="F362" i="36"/>
  <c r="O362" i="36" s="1"/>
  <c r="F934" i="36"/>
  <c r="O934" i="36" s="1"/>
  <c r="F967" i="36"/>
  <c r="O967" i="36" s="1"/>
  <c r="F417" i="36"/>
  <c r="O417" i="36" s="1"/>
  <c r="F406" i="36"/>
  <c r="O406" i="36" s="1"/>
  <c r="F1066" i="36"/>
  <c r="O1066" i="36" s="1"/>
  <c r="P70" i="21"/>
  <c r="G594" i="35" s="1"/>
  <c r="D71" i="21"/>
  <c r="K70" i="21"/>
  <c r="U70" i="21"/>
  <c r="G605" i="35" s="1"/>
  <c r="F1103" i="36" l="1"/>
  <c r="O1103" i="36" s="1"/>
  <c r="N1103" i="36"/>
  <c r="E1109" i="36"/>
  <c r="E1094" i="36"/>
  <c r="N1094" i="36" s="1"/>
  <c r="E1159" i="36"/>
  <c r="N1163" i="36"/>
  <c r="F1163" i="36"/>
  <c r="O1163" i="36" s="1"/>
  <c r="E1099" i="36"/>
  <c r="E1104" i="36"/>
  <c r="E1164" i="36"/>
  <c r="N1098" i="36"/>
  <c r="F1098" i="36"/>
  <c r="O1098" i="36" s="1"/>
  <c r="F1197" i="36"/>
  <c r="O1197" i="36" s="1"/>
  <c r="D115" i="37" s="1"/>
  <c r="F1186" i="36"/>
  <c r="O1186" i="36" s="1"/>
  <c r="F1108" i="36"/>
  <c r="O1108" i="36" s="1"/>
  <c r="N1108" i="36"/>
  <c r="C83" i="21"/>
  <c r="D83" i="21"/>
  <c r="G673" i="35"/>
  <c r="G67" i="35"/>
  <c r="G276" i="35"/>
  <c r="G89" i="35"/>
  <c r="G243" i="35"/>
  <c r="G419" i="35"/>
  <c r="G640" i="35"/>
  <c r="G232" i="35"/>
  <c r="G111" i="35"/>
  <c r="G78" i="35"/>
  <c r="G144" i="35"/>
  <c r="G122" i="35"/>
  <c r="G617" i="35"/>
  <c r="G573" i="35"/>
  <c r="G452" i="35"/>
  <c r="G287" i="35"/>
  <c r="G331" i="35"/>
  <c r="G397" i="35"/>
  <c r="G188" i="35"/>
  <c r="G210" i="35"/>
  <c r="G353" i="35"/>
  <c r="G265" i="35"/>
  <c r="G651" i="35"/>
  <c r="G23" i="35"/>
  <c r="G177" i="35"/>
  <c r="G254" i="35"/>
  <c r="G540" i="35"/>
  <c r="G408" i="35"/>
  <c r="G34" i="35"/>
  <c r="G441" i="35"/>
  <c r="G629" i="35"/>
  <c r="G342" i="35"/>
  <c r="G463" i="35"/>
  <c r="G166" i="35"/>
  <c r="G496" i="35"/>
  <c r="G386" i="35"/>
  <c r="G199" i="35"/>
  <c r="G485" i="35"/>
  <c r="G518" i="35"/>
  <c r="G584" i="35"/>
  <c r="G364" i="35"/>
  <c r="G375" i="35"/>
  <c r="G45" i="35"/>
  <c r="G12" i="35"/>
  <c r="G221" i="35"/>
  <c r="G320" i="35"/>
  <c r="G100" i="35"/>
  <c r="G56" i="35"/>
  <c r="G133" i="35"/>
  <c r="G155" i="35"/>
  <c r="G298" i="35"/>
  <c r="G529" i="35"/>
  <c r="G662" i="35"/>
  <c r="G474" i="35"/>
  <c r="G507" i="35"/>
  <c r="G301" i="35"/>
  <c r="G430" i="35"/>
  <c r="H89" i="21"/>
  <c r="I673" i="35"/>
  <c r="F1209" i="36" s="1"/>
  <c r="O1209" i="36" s="1"/>
  <c r="I662" i="35"/>
  <c r="I651" i="35"/>
  <c r="F1176" i="36" s="1"/>
  <c r="O1176" i="36" s="1"/>
  <c r="I640" i="35"/>
  <c r="F1144" i="36" s="1"/>
  <c r="O1144" i="36" s="1"/>
  <c r="F550" i="36"/>
  <c r="O550" i="36" s="1"/>
  <c r="F847" i="36"/>
  <c r="F495" i="36"/>
  <c r="F187" i="36"/>
  <c r="F308" i="36"/>
  <c r="F341" i="36"/>
  <c r="F165" i="36"/>
  <c r="N1158" i="36"/>
  <c r="C103" i="37" s="1"/>
  <c r="F1158" i="36"/>
  <c r="O1158" i="36" s="1"/>
  <c r="D103" i="37" s="1"/>
  <c r="G550" i="35"/>
  <c r="G561" i="35"/>
  <c r="F209" i="36"/>
  <c r="O209" i="36" s="1"/>
  <c r="F1230" i="36"/>
  <c r="O1230" i="36" s="1"/>
  <c r="F1154" i="36"/>
  <c r="O1154" i="36" s="1"/>
  <c r="F1219" i="36"/>
  <c r="O1219" i="36" s="1"/>
  <c r="I550" i="35"/>
  <c r="F11" i="36" s="1"/>
  <c r="O11" i="36" s="1"/>
  <c r="I561" i="35"/>
  <c r="F22" i="36" s="1"/>
  <c r="O22" i="36" s="1"/>
  <c r="F693" i="36"/>
  <c r="O693" i="36" s="1"/>
  <c r="F726" i="36"/>
  <c r="O726" i="36" s="1"/>
  <c r="D77" i="37" s="1"/>
  <c r="F704" i="36"/>
  <c r="O704" i="36" s="1"/>
  <c r="D66" i="37" s="1"/>
  <c r="F88" i="36"/>
  <c r="O88" i="36" s="1"/>
  <c r="D22" i="37" s="1"/>
  <c r="F77" i="36"/>
  <c r="O77" i="36" s="1"/>
  <c r="F231" i="36"/>
  <c r="O231" i="36" s="1"/>
  <c r="F242" i="36"/>
  <c r="O242" i="36" s="1"/>
  <c r="F451" i="36"/>
  <c r="O451" i="36" s="1"/>
  <c r="D44" i="37" s="1"/>
  <c r="F649" i="36"/>
  <c r="O649" i="36" s="1"/>
  <c r="F902" i="36"/>
  <c r="O902" i="36" s="1"/>
  <c r="F913" i="36"/>
  <c r="O913" i="36" s="1"/>
  <c r="F638" i="36"/>
  <c r="O638" i="36" s="1"/>
  <c r="O165" i="36"/>
  <c r="F154" i="36"/>
  <c r="O154" i="36" s="1"/>
  <c r="F781" i="36"/>
  <c r="O781" i="36" s="1"/>
  <c r="F792" i="36"/>
  <c r="O792" i="36" s="1"/>
  <c r="F935" i="36"/>
  <c r="O935" i="36" s="1"/>
  <c r="F968" i="36"/>
  <c r="O968" i="36" s="1"/>
  <c r="F671" i="36"/>
  <c r="O671" i="36" s="1"/>
  <c r="F682" i="36"/>
  <c r="O682" i="36" s="1"/>
  <c r="D55" i="37" s="1"/>
  <c r="F374" i="36"/>
  <c r="O374" i="36" s="1"/>
  <c r="O187" i="36"/>
  <c r="D11" i="37" s="1"/>
  <c r="F176" i="36"/>
  <c r="O176" i="36" s="1"/>
  <c r="F363" i="36"/>
  <c r="O363" i="36" s="1"/>
  <c r="F440" i="36"/>
  <c r="O440" i="36" s="1"/>
  <c r="F924" i="36"/>
  <c r="O924" i="36" s="1"/>
  <c r="F572" i="36"/>
  <c r="O572" i="36" s="1"/>
  <c r="F594" i="36"/>
  <c r="O594" i="36" s="1"/>
  <c r="F583" i="36"/>
  <c r="O583" i="36" s="1"/>
  <c r="F539" i="36"/>
  <c r="O539" i="36" s="1"/>
  <c r="F605" i="36"/>
  <c r="O605" i="36" s="1"/>
  <c r="F957" i="36"/>
  <c r="O957" i="36" s="1"/>
  <c r="F869" i="36"/>
  <c r="O869" i="36" s="1"/>
  <c r="F858" i="36"/>
  <c r="O858" i="36" s="1"/>
  <c r="F737" i="36"/>
  <c r="O737" i="36" s="1"/>
  <c r="F748" i="36"/>
  <c r="O748" i="36" s="1"/>
  <c r="F1089" i="36"/>
  <c r="O1089" i="36" s="1"/>
  <c r="F55" i="36"/>
  <c r="O55" i="36" s="1"/>
  <c r="F352" i="36"/>
  <c r="O352" i="36" s="1"/>
  <c r="F990" i="36"/>
  <c r="O990" i="36" s="1"/>
  <c r="F1001" i="36"/>
  <c r="O1001" i="36" s="1"/>
  <c r="F121" i="36"/>
  <c r="O121" i="36" s="1"/>
  <c r="F803" i="36"/>
  <c r="O803" i="36" s="1"/>
  <c r="F462" i="36"/>
  <c r="O462" i="36" s="1"/>
  <c r="F473" i="36"/>
  <c r="O473" i="36" s="1"/>
  <c r="F1121" i="36"/>
  <c r="O1121" i="36" s="1"/>
  <c r="F1132" i="36"/>
  <c r="O1132" i="36" s="1"/>
  <c r="F1023" i="36"/>
  <c r="O1023" i="36" s="1"/>
  <c r="F1034" i="36"/>
  <c r="O1034" i="36" s="1"/>
  <c r="F627" i="36"/>
  <c r="O627" i="36" s="1"/>
  <c r="F814" i="36"/>
  <c r="O814" i="36" s="1"/>
  <c r="F1078" i="36"/>
  <c r="O1078" i="36" s="1"/>
  <c r="F836" i="36"/>
  <c r="O836" i="36" s="1"/>
  <c r="O847" i="36"/>
  <c r="K71" i="21"/>
  <c r="U71" i="21"/>
  <c r="G606" i="35" s="1"/>
  <c r="P71" i="21"/>
  <c r="G595" i="35" s="1"/>
  <c r="F561" i="36"/>
  <c r="O561" i="36" s="1"/>
  <c r="D88" i="37" s="1"/>
  <c r="O308" i="36"/>
  <c r="F286" i="36"/>
  <c r="O286" i="36" s="1"/>
  <c r="F396" i="36"/>
  <c r="O396" i="36" s="1"/>
  <c r="F385" i="36"/>
  <c r="O385" i="36" s="1"/>
  <c r="F132" i="36"/>
  <c r="O132" i="36" s="1"/>
  <c r="F220" i="36"/>
  <c r="O220" i="36" s="1"/>
  <c r="D99" i="37" s="1"/>
  <c r="F1056" i="36"/>
  <c r="O1056" i="36" s="1"/>
  <c r="F99" i="36"/>
  <c r="O99" i="36" s="1"/>
  <c r="O495" i="36"/>
  <c r="F484" i="36"/>
  <c r="O484" i="36" s="1"/>
  <c r="F825" i="36"/>
  <c r="O825" i="36" s="1"/>
  <c r="F979" i="36"/>
  <c r="O979" i="36" s="1"/>
  <c r="F297" i="36"/>
  <c r="O297" i="36" s="1"/>
  <c r="F319" i="36"/>
  <c r="O319" i="36" s="1"/>
  <c r="F418" i="36"/>
  <c r="O418" i="36" s="1"/>
  <c r="F1067" i="36"/>
  <c r="O1067" i="36" s="1"/>
  <c r="F407" i="36"/>
  <c r="O407" i="36" s="1"/>
  <c r="F330" i="36"/>
  <c r="O330" i="36" s="1"/>
  <c r="O341" i="36"/>
  <c r="D33" i="37" s="1"/>
  <c r="F506" i="36"/>
  <c r="O506" i="36" s="1"/>
  <c r="F517" i="36"/>
  <c r="O517" i="36" s="1"/>
  <c r="Q71" i="21"/>
  <c r="I595" i="35" s="1"/>
  <c r="F34" i="36" s="1"/>
  <c r="O34" i="36" s="1"/>
  <c r="V71" i="21"/>
  <c r="I606" i="35" s="1"/>
  <c r="F45" i="36" s="1"/>
  <c r="O45" i="36" s="1"/>
  <c r="L71" i="21"/>
  <c r="I144" i="35"/>
  <c r="F67" i="36" s="1"/>
  <c r="O67" i="36" s="1"/>
  <c r="I188" i="35"/>
  <c r="I155" i="35"/>
  <c r="F276" i="36" s="1"/>
  <c r="O276" i="36" s="1"/>
  <c r="I34" i="35"/>
  <c r="I474" i="35"/>
  <c r="I408" i="35"/>
  <c r="F617" i="36" s="1"/>
  <c r="O617" i="36" s="1"/>
  <c r="I243" i="35"/>
  <c r="I122" i="35"/>
  <c r="I320" i="35"/>
  <c r="I276" i="35"/>
  <c r="I265" i="35"/>
  <c r="F199" i="36" s="1"/>
  <c r="O199" i="36" s="1"/>
  <c r="I342" i="35"/>
  <c r="I111" i="35"/>
  <c r="I301" i="35"/>
  <c r="F1005" i="36" s="1"/>
  <c r="O1005" i="36" s="1"/>
  <c r="I463" i="35"/>
  <c r="I518" i="35"/>
  <c r="F430" i="36" s="1"/>
  <c r="O430" i="36" s="1"/>
  <c r="I199" i="35"/>
  <c r="I573" i="35"/>
  <c r="I584" i="35"/>
  <c r="F881" i="36" s="1"/>
  <c r="O881" i="36" s="1"/>
  <c r="I89" i="35"/>
  <c r="I386" i="35"/>
  <c r="F265" i="36" s="1"/>
  <c r="O265" i="36" s="1"/>
  <c r="I629" i="35"/>
  <c r="I430" i="35"/>
  <c r="I232" i="35"/>
  <c r="F661" i="36" s="1"/>
  <c r="O661" i="36" s="1"/>
  <c r="I507" i="35"/>
  <c r="I485" i="35"/>
  <c r="I540" i="35"/>
  <c r="F892" i="36" s="1"/>
  <c r="O892" i="36" s="1"/>
  <c r="I78" i="35"/>
  <c r="I452" i="35"/>
  <c r="I177" i="35"/>
  <c r="I166" i="35"/>
  <c r="I254" i="35"/>
  <c r="F144" i="36" s="1"/>
  <c r="O144" i="36" s="1"/>
  <c r="I287" i="35"/>
  <c r="I353" i="35"/>
  <c r="I298" i="35"/>
  <c r="I419" i="35"/>
  <c r="I397" i="35"/>
  <c r="I441" i="35"/>
  <c r="I67" i="35"/>
  <c r="F254" i="36" s="1"/>
  <c r="O254" i="36" s="1"/>
  <c r="I617" i="35"/>
  <c r="F771" i="36" s="1"/>
  <c r="O771" i="36" s="1"/>
  <c r="I529" i="35"/>
  <c r="I23" i="35"/>
  <c r="F529" i="36" s="1"/>
  <c r="O529" i="36" s="1"/>
  <c r="I364" i="35"/>
  <c r="F111" i="36" s="1"/>
  <c r="O111" i="36" s="1"/>
  <c r="I12" i="35"/>
  <c r="F1242" i="36" s="1"/>
  <c r="O1242" i="36" s="1"/>
  <c r="I45" i="35"/>
  <c r="I331" i="35"/>
  <c r="I210" i="35"/>
  <c r="I375" i="35"/>
  <c r="F716" i="36" s="1"/>
  <c r="O716" i="36" s="1"/>
  <c r="I100" i="35"/>
  <c r="F760" i="36" s="1"/>
  <c r="O760" i="36" s="1"/>
  <c r="I221" i="35"/>
  <c r="F1046" i="36" s="1"/>
  <c r="O1046" i="36" s="1"/>
  <c r="I133" i="35"/>
  <c r="F947" i="36" s="1"/>
  <c r="O947" i="36" s="1"/>
  <c r="I56" i="35"/>
  <c r="I496" i="35"/>
  <c r="F848" i="36" l="1"/>
  <c r="F496" i="36"/>
  <c r="F551" i="36"/>
  <c r="F342" i="36"/>
  <c r="F309" i="36"/>
  <c r="F188" i="36"/>
  <c r="F166" i="36"/>
  <c r="F1099" i="36"/>
  <c r="O1099" i="36" s="1"/>
  <c r="N1099" i="36"/>
  <c r="N1109" i="36"/>
  <c r="F1109" i="36"/>
  <c r="O1109" i="36" s="1"/>
  <c r="F1198" i="36"/>
  <c r="O1198" i="36" s="1"/>
  <c r="D116" i="37" s="1"/>
  <c r="F1187" i="36"/>
  <c r="O1187" i="36" s="1"/>
  <c r="E1095" i="36"/>
  <c r="N1095" i="36" s="1"/>
  <c r="E1110" i="36"/>
  <c r="E1160" i="36"/>
  <c r="N1164" i="36"/>
  <c r="F1164" i="36"/>
  <c r="O1164" i="36" s="1"/>
  <c r="E1165" i="36"/>
  <c r="E1100" i="36"/>
  <c r="E1105" i="36"/>
  <c r="N1104" i="36"/>
  <c r="F1104" i="36"/>
  <c r="O1104" i="36" s="1"/>
  <c r="N1159" i="36"/>
  <c r="C104" i="37" s="1"/>
  <c r="F1159" i="36"/>
  <c r="O1159" i="36" s="1"/>
  <c r="D104" i="37" s="1"/>
  <c r="G551" i="35"/>
  <c r="G562" i="35"/>
  <c r="F210" i="36"/>
  <c r="O210" i="36" s="1"/>
  <c r="F1231" i="36"/>
  <c r="O1231" i="36" s="1"/>
  <c r="F1155" i="36"/>
  <c r="O1155" i="36" s="1"/>
  <c r="F1220" i="36"/>
  <c r="O1220" i="36" s="1"/>
  <c r="I551" i="35"/>
  <c r="F12" i="36" s="1"/>
  <c r="O12" i="36" s="1"/>
  <c r="I562" i="35"/>
  <c r="F23" i="36" s="1"/>
  <c r="O23" i="36" s="1"/>
  <c r="F408" i="36"/>
  <c r="O408" i="36" s="1"/>
  <c r="F419" i="36"/>
  <c r="O419" i="36" s="1"/>
  <c r="F1068" i="36"/>
  <c r="O1068" i="36" s="1"/>
  <c r="F243" i="36"/>
  <c r="O243" i="36" s="1"/>
  <c r="F232" i="36"/>
  <c r="O232" i="36" s="1"/>
  <c r="F452" i="36"/>
  <c r="O452" i="36" s="1"/>
  <c r="D45" i="37" s="1"/>
  <c r="O342" i="36"/>
  <c r="D34" i="37" s="1"/>
  <c r="F331" i="36"/>
  <c r="O331" i="36" s="1"/>
  <c r="F1090" i="36"/>
  <c r="O1090" i="36" s="1"/>
  <c r="F353" i="36"/>
  <c r="O353" i="36" s="1"/>
  <c r="F56" i="36"/>
  <c r="O56" i="36" s="1"/>
  <c r="F727" i="36"/>
  <c r="O727" i="36" s="1"/>
  <c r="D78" i="37" s="1"/>
  <c r="F705" i="36"/>
  <c r="O705" i="36" s="1"/>
  <c r="D67" i="37" s="1"/>
  <c r="F694" i="36"/>
  <c r="O694" i="36" s="1"/>
  <c r="F375" i="36"/>
  <c r="O375" i="36" s="1"/>
  <c r="F1002" i="36"/>
  <c r="O1002" i="36" s="1"/>
  <c r="F991" i="36"/>
  <c r="O991" i="36" s="1"/>
  <c r="F738" i="36"/>
  <c r="O738" i="36" s="1"/>
  <c r="F749" i="36"/>
  <c r="O749" i="36" s="1"/>
  <c r="F364" i="36"/>
  <c r="O364" i="36" s="1"/>
  <c r="F463" i="36"/>
  <c r="O463" i="36" s="1"/>
  <c r="F474" i="36"/>
  <c r="O474" i="36" s="1"/>
  <c r="F1122" i="36"/>
  <c r="O1122" i="36" s="1"/>
  <c r="F1133" i="36"/>
  <c r="O1133" i="36" s="1"/>
  <c r="F1035" i="36"/>
  <c r="O1035" i="36" s="1"/>
  <c r="F1024" i="36"/>
  <c r="O1024" i="36" s="1"/>
  <c r="F606" i="36"/>
  <c r="O606" i="36" s="1"/>
  <c r="F782" i="36"/>
  <c r="O782" i="36" s="1"/>
  <c r="F793" i="36"/>
  <c r="O793" i="36" s="1"/>
  <c r="F804" i="36"/>
  <c r="O804" i="36" s="1"/>
  <c r="F122" i="36"/>
  <c r="O122" i="36" s="1"/>
  <c r="F441" i="36"/>
  <c r="O441" i="36" s="1"/>
  <c r="F925" i="36"/>
  <c r="O925" i="36" s="1"/>
  <c r="F320" i="36"/>
  <c r="O320" i="36" s="1"/>
  <c r="F298" i="36"/>
  <c r="O298" i="36" s="1"/>
  <c r="F980" i="36"/>
  <c r="O980" i="36" s="1"/>
  <c r="O309" i="36"/>
  <c r="F562" i="36"/>
  <c r="O562" i="36" s="1"/>
  <c r="D89" i="37" s="1"/>
  <c r="F287" i="36"/>
  <c r="O287" i="36" s="1"/>
  <c r="F89" i="36"/>
  <c r="O89" i="36" s="1"/>
  <c r="D23" i="37" s="1"/>
  <c r="F78" i="36"/>
  <c r="O78" i="36" s="1"/>
  <c r="F386" i="36"/>
  <c r="O386" i="36" s="1"/>
  <c r="F397" i="36"/>
  <c r="O397" i="36" s="1"/>
  <c r="F133" i="36"/>
  <c r="O133" i="36" s="1"/>
  <c r="F221" i="36"/>
  <c r="O221" i="36" s="1"/>
  <c r="D100" i="37" s="1"/>
  <c r="F584" i="36"/>
  <c r="O584" i="36" s="1"/>
  <c r="F573" i="36"/>
  <c r="O573" i="36" s="1"/>
  <c r="F595" i="36"/>
  <c r="O595" i="36" s="1"/>
  <c r="F177" i="36"/>
  <c r="O177" i="36" s="1"/>
  <c r="O188" i="36"/>
  <c r="D12" i="37" s="1"/>
  <c r="O166" i="36"/>
  <c r="F155" i="36"/>
  <c r="O155" i="36" s="1"/>
  <c r="F859" i="36"/>
  <c r="O859" i="36" s="1"/>
  <c r="F958" i="36"/>
  <c r="O958" i="36" s="1"/>
  <c r="F870" i="36"/>
  <c r="O870" i="36" s="1"/>
  <c r="F628" i="36"/>
  <c r="O628" i="36" s="1"/>
  <c r="F815" i="36"/>
  <c r="O815" i="36" s="1"/>
  <c r="F639" i="36"/>
  <c r="O639" i="36" s="1"/>
  <c r="F914" i="36"/>
  <c r="O914" i="36" s="1"/>
  <c r="F903" i="36"/>
  <c r="O903" i="36" s="1"/>
  <c r="F650" i="36"/>
  <c r="O650" i="36" s="1"/>
  <c r="F683" i="36"/>
  <c r="O683" i="36" s="1"/>
  <c r="D56" i="37" s="1"/>
  <c r="F672" i="36"/>
  <c r="O672" i="36" s="1"/>
  <c r="F1057" i="36"/>
  <c r="O1057" i="36" s="1"/>
  <c r="F100" i="36"/>
  <c r="O100" i="36" s="1"/>
  <c r="O551" i="36"/>
  <c r="F540" i="36"/>
  <c r="O540" i="36" s="1"/>
  <c r="O496" i="36"/>
  <c r="F485" i="36"/>
  <c r="O485" i="36" s="1"/>
  <c r="F826" i="36"/>
  <c r="O826" i="36" s="1"/>
  <c r="O848" i="36"/>
  <c r="F1079" i="36"/>
  <c r="O1079" i="36" s="1"/>
  <c r="F837" i="36"/>
  <c r="O837" i="36" s="1"/>
  <c r="F969" i="36"/>
  <c r="O969" i="36" s="1"/>
  <c r="F936" i="36"/>
  <c r="O936" i="36" s="1"/>
  <c r="F507" i="36"/>
  <c r="O507" i="36" s="1"/>
  <c r="F518" i="36"/>
  <c r="O518" i="36" s="1"/>
  <c r="N1105" i="36" l="1"/>
  <c r="F1105" i="36"/>
  <c r="O1105" i="36" s="1"/>
  <c r="N1100" i="36"/>
  <c r="F1100" i="36"/>
  <c r="O1100" i="36" s="1"/>
  <c r="F1160" i="36"/>
  <c r="O1160" i="36" s="1"/>
  <c r="D105" i="37" s="1"/>
  <c r="N1160" i="36"/>
  <c r="C105" i="37" s="1"/>
  <c r="N1165" i="36"/>
  <c r="F1165" i="36"/>
  <c r="O1165" i="36" s="1"/>
  <c r="F1110" i="36"/>
  <c r="O1110" i="36" s="1"/>
  <c r="N1110" i="36"/>
</calcChain>
</file>

<file path=xl/comments1.xml><?xml version="1.0" encoding="utf-8"?>
<comments xmlns="http://schemas.openxmlformats.org/spreadsheetml/2006/main">
  <authors>
    <author>作者</author>
  </authors>
  <commentList>
    <comment ref="X14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不太好用，手动调强</t>
        </r>
      </text>
    </comment>
    <comment ref="X50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自身30%护甲</t>
        </r>
      </text>
    </comment>
    <comment ref="W51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光环+10%免伤</t>
        </r>
      </text>
    </comment>
    <comment ref="X51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自身10%护甲</t>
        </r>
      </text>
    </comment>
  </commentList>
</comments>
</file>

<file path=xl/comments2.xml><?xml version="1.0" encoding="utf-8"?>
<comments xmlns="http://schemas.openxmlformats.org/spreadsheetml/2006/main">
  <authors>
    <author>作者</author>
  </authors>
  <commentList>
    <comment ref="L90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很远，对空，范围略大</t>
        </r>
      </text>
    </comment>
    <comment ref="L255" authorId="0" shapeId="0">
      <text>
        <r>
          <rPr>
            <b/>
            <sz val="9"/>
            <color indexed="81"/>
            <rFont val="宋体"/>
            <family val="3"/>
            <charset val="134"/>
          </rPr>
          <t>作者:</t>
        </r>
        <r>
          <rPr>
            <sz val="9"/>
            <color indexed="81"/>
            <rFont val="宋体"/>
            <family val="3"/>
            <charset val="134"/>
          </rPr>
          <t xml:space="preserve">
范围从2改到2.5</t>
        </r>
      </text>
    </comment>
  </commentList>
</comments>
</file>

<file path=xl/sharedStrings.xml><?xml version="1.0" encoding="utf-8"?>
<sst xmlns="http://schemas.openxmlformats.org/spreadsheetml/2006/main" count="6371" uniqueCount="3099">
  <si>
    <t>卡牌名字</t>
    <phoneticPr fontId="5" type="noConversion"/>
  </si>
  <si>
    <t>模型</t>
    <phoneticPr fontId="5" type="noConversion"/>
  </si>
  <si>
    <t>攻击</t>
    <phoneticPr fontId="5" type="noConversion"/>
  </si>
  <si>
    <t>移动</t>
    <phoneticPr fontId="5" type="noConversion"/>
  </si>
  <si>
    <t>火焰领主</t>
    <phoneticPr fontId="5" type="noConversion"/>
  </si>
  <si>
    <t>定位</t>
    <phoneticPr fontId="5" type="noConversion"/>
  </si>
  <si>
    <t>品质</t>
    <phoneticPr fontId="5" type="noConversion"/>
  </si>
  <si>
    <t>耗费</t>
    <phoneticPr fontId="5" type="noConversion"/>
  </si>
  <si>
    <t>名字</t>
    <phoneticPr fontId="5" type="noConversion"/>
  </si>
  <si>
    <t>ID</t>
    <phoneticPr fontId="5" type="noConversion"/>
  </si>
  <si>
    <t>普通</t>
    <phoneticPr fontId="5" type="noConversion"/>
  </si>
  <si>
    <t>史诗</t>
  </si>
  <si>
    <t>史诗</t>
    <phoneticPr fontId="5" type="noConversion"/>
  </si>
  <si>
    <t>优秀</t>
  </si>
  <si>
    <t>大嘴巨人</t>
    <phoneticPr fontId="5" type="noConversion"/>
  </si>
  <si>
    <t>铠甲熊</t>
    <phoneticPr fontId="5" type="noConversion"/>
  </si>
  <si>
    <t>守护泰坦</t>
    <phoneticPr fontId="5" type="noConversion"/>
  </si>
  <si>
    <t>狂暴巨人</t>
    <phoneticPr fontId="5" type="noConversion"/>
  </si>
  <si>
    <t>T</t>
    <phoneticPr fontId="5" type="noConversion"/>
  </si>
  <si>
    <t>斯巴达</t>
    <phoneticPr fontId="5" type="noConversion"/>
  </si>
  <si>
    <t>投荆者</t>
    <phoneticPr fontId="5" type="noConversion"/>
  </si>
  <si>
    <t>空军</t>
    <phoneticPr fontId="5" type="noConversion"/>
  </si>
  <si>
    <t>古尔丹</t>
    <phoneticPr fontId="5" type="noConversion"/>
  </si>
  <si>
    <t>骑士</t>
    <phoneticPr fontId="5" type="noConversion"/>
  </si>
  <si>
    <t>力士</t>
    <phoneticPr fontId="5" type="noConversion"/>
  </si>
  <si>
    <t>小鹿</t>
    <phoneticPr fontId="5" type="noConversion"/>
  </si>
  <si>
    <t>治疗</t>
    <phoneticPr fontId="5" type="noConversion"/>
  </si>
  <si>
    <t>魅魔</t>
    <phoneticPr fontId="5" type="noConversion"/>
  </si>
  <si>
    <t>空投者</t>
    <phoneticPr fontId="5" type="noConversion"/>
  </si>
  <si>
    <t>蓝电法师</t>
    <phoneticPr fontId="5" type="noConversion"/>
  </si>
  <si>
    <t>小炮炮</t>
    <phoneticPr fontId="5" type="noConversion"/>
  </si>
  <si>
    <t>樱花武士</t>
    <phoneticPr fontId="5" type="noConversion"/>
  </si>
  <si>
    <t>宝石法师</t>
    <phoneticPr fontId="5" type="noConversion"/>
  </si>
  <si>
    <t>小树妖</t>
    <phoneticPr fontId="5" type="noConversion"/>
  </si>
  <si>
    <t>数量</t>
    <phoneticPr fontId="5" type="noConversion"/>
  </si>
  <si>
    <t>精良</t>
  </si>
  <si>
    <t>普通</t>
  </si>
  <si>
    <t>粉红女巫</t>
    <phoneticPr fontId="5" type="noConversion"/>
  </si>
  <si>
    <t>飞斧泰坦</t>
    <phoneticPr fontId="5" type="noConversion"/>
  </si>
  <si>
    <t>雪人</t>
    <phoneticPr fontId="5" type="noConversion"/>
  </si>
  <si>
    <t>鹰身人</t>
    <phoneticPr fontId="5" type="noConversion"/>
  </si>
  <si>
    <t>忍者</t>
    <phoneticPr fontId="5" type="noConversion"/>
  </si>
  <si>
    <t>喵喵守卫</t>
    <phoneticPr fontId="5" type="noConversion"/>
  </si>
  <si>
    <t>飞矛手</t>
    <phoneticPr fontId="5" type="noConversion"/>
  </si>
  <si>
    <t>投放</t>
    <phoneticPr fontId="5" type="noConversion"/>
  </si>
  <si>
    <t>小花</t>
    <phoneticPr fontId="5" type="noConversion"/>
  </si>
  <si>
    <t>移动速度</t>
    <phoneticPr fontId="5" type="noConversion"/>
  </si>
  <si>
    <t>名称</t>
    <phoneticPr fontId="5" type="noConversion"/>
  </si>
  <si>
    <t>速度</t>
    <phoneticPr fontId="5" type="noConversion"/>
  </si>
  <si>
    <t>慢速</t>
  </si>
  <si>
    <t>慢速</t>
    <phoneticPr fontId="5" type="noConversion"/>
  </si>
  <si>
    <t>中速</t>
  </si>
  <si>
    <t>中速</t>
    <phoneticPr fontId="5" type="noConversion"/>
  </si>
  <si>
    <t>快速</t>
  </si>
  <si>
    <t>快速</t>
    <phoneticPr fontId="5" type="noConversion"/>
  </si>
  <si>
    <t>急速</t>
    <phoneticPr fontId="5" type="noConversion"/>
  </si>
  <si>
    <t>暴风步兵</t>
    <phoneticPr fontId="5" type="noConversion"/>
  </si>
  <si>
    <t>喵夫人</t>
    <phoneticPr fontId="5" type="noConversion"/>
  </si>
  <si>
    <t>阴阳师</t>
    <phoneticPr fontId="5" type="noConversion"/>
  </si>
  <si>
    <t>祖母</t>
    <phoneticPr fontId="5" type="noConversion"/>
  </si>
  <si>
    <t>白幽灵</t>
    <phoneticPr fontId="5" type="noConversion"/>
  </si>
  <si>
    <t>小恩</t>
    <phoneticPr fontId="5" type="noConversion"/>
  </si>
  <si>
    <t>风暴女</t>
    <phoneticPr fontId="5" type="noConversion"/>
  </si>
  <si>
    <t>黑岩</t>
    <phoneticPr fontId="5" type="noConversion"/>
  </si>
  <si>
    <t>洛克人</t>
    <phoneticPr fontId="5" type="noConversion"/>
  </si>
  <si>
    <t>死神</t>
    <phoneticPr fontId="5" type="noConversion"/>
  </si>
  <si>
    <t>圣水数值</t>
    <phoneticPr fontId="5" type="noConversion"/>
  </si>
  <si>
    <t>圣水量</t>
    <phoneticPr fontId="5" type="noConversion"/>
  </si>
  <si>
    <t>实际战力</t>
    <phoneticPr fontId="5" type="noConversion"/>
  </si>
  <si>
    <t>兵种类型属性偏向</t>
    <phoneticPr fontId="5" type="noConversion"/>
  </si>
  <si>
    <t>T</t>
    <phoneticPr fontId="5" type="noConversion"/>
  </si>
  <si>
    <t>膨胀系数</t>
    <phoneticPr fontId="5" type="noConversion"/>
  </si>
  <si>
    <t>攻击</t>
    <phoneticPr fontId="5" type="noConversion"/>
  </si>
  <si>
    <t>圣水消耗标模</t>
    <phoneticPr fontId="5" type="noConversion"/>
  </si>
  <si>
    <t>标准回合数</t>
    <phoneticPr fontId="5" type="noConversion"/>
  </si>
  <si>
    <t>分裂修正</t>
    <phoneticPr fontId="5" type="noConversion"/>
  </si>
  <si>
    <t>血量修正</t>
    <phoneticPr fontId="5" type="noConversion"/>
  </si>
  <si>
    <t>攻击修正</t>
    <phoneticPr fontId="5" type="noConversion"/>
  </si>
  <si>
    <t>1个</t>
    <phoneticPr fontId="5" type="noConversion"/>
  </si>
  <si>
    <t>2个</t>
  </si>
  <si>
    <t>3个</t>
  </si>
  <si>
    <t>4个</t>
  </si>
  <si>
    <t>5个</t>
  </si>
  <si>
    <t>提升系数</t>
    <phoneticPr fontId="5" type="noConversion"/>
  </si>
  <si>
    <t>T</t>
  </si>
  <si>
    <t>战士</t>
  </si>
  <si>
    <t>治疗</t>
  </si>
  <si>
    <t>攻击间隔修正</t>
    <phoneticPr fontId="5" type="noConversion"/>
  </si>
  <si>
    <t>时间</t>
    <phoneticPr fontId="5" type="noConversion"/>
  </si>
  <si>
    <t>修正系数</t>
    <phoneticPr fontId="5" type="noConversion"/>
  </si>
  <si>
    <t>刺客</t>
  </si>
  <si>
    <t>刺客</t>
    <phoneticPr fontId="5" type="noConversion"/>
  </si>
  <si>
    <t>攻击范围</t>
    <phoneticPr fontId="5" type="noConversion"/>
  </si>
  <si>
    <t>名称</t>
    <phoneticPr fontId="5" type="noConversion"/>
  </si>
  <si>
    <t>ID</t>
    <phoneticPr fontId="5" type="noConversion"/>
  </si>
  <si>
    <t>单体</t>
    <phoneticPr fontId="5" type="noConversion"/>
  </si>
  <si>
    <t>群攻</t>
    <phoneticPr fontId="5" type="noConversion"/>
  </si>
  <si>
    <t>急速</t>
  </si>
  <si>
    <t>品质修正</t>
    <phoneticPr fontId="5" type="noConversion"/>
  </si>
  <si>
    <t>血量</t>
    <phoneticPr fontId="5" type="noConversion"/>
  </si>
  <si>
    <t>攻击</t>
    <phoneticPr fontId="5" type="noConversion"/>
  </si>
  <si>
    <t>普通</t>
    <phoneticPr fontId="5" type="noConversion"/>
  </si>
  <si>
    <t>优秀</t>
    <phoneticPr fontId="5" type="noConversion"/>
  </si>
  <si>
    <t>精良</t>
    <phoneticPr fontId="5" type="noConversion"/>
  </si>
  <si>
    <t>史诗</t>
    <phoneticPr fontId="5" type="noConversion"/>
  </si>
  <si>
    <t>战力</t>
    <phoneticPr fontId="5" type="noConversion"/>
  </si>
  <si>
    <t>战士</t>
    <phoneticPr fontId="5" type="noConversion"/>
  </si>
  <si>
    <t>对地</t>
    <phoneticPr fontId="5" type="noConversion"/>
  </si>
  <si>
    <t>地空</t>
    <phoneticPr fontId="5" type="noConversion"/>
  </si>
  <si>
    <t>游侠</t>
    <phoneticPr fontId="5" type="noConversion"/>
  </si>
  <si>
    <t>慢速</t>
    <phoneticPr fontId="5" type="noConversion"/>
  </si>
  <si>
    <t>中速</t>
    <phoneticPr fontId="5" type="noConversion"/>
  </si>
  <si>
    <t>快速</t>
    <phoneticPr fontId="5" type="noConversion"/>
  </si>
  <si>
    <t>急速</t>
    <phoneticPr fontId="5" type="noConversion"/>
  </si>
  <si>
    <t>巫师</t>
    <phoneticPr fontId="5" type="noConversion"/>
  </si>
  <si>
    <t>空军</t>
    <phoneticPr fontId="5" type="noConversion"/>
  </si>
  <si>
    <t>攻击系数</t>
    <phoneticPr fontId="5" type="noConversion"/>
  </si>
  <si>
    <t>血量系数</t>
    <phoneticPr fontId="5" type="noConversion"/>
  </si>
  <si>
    <t>游侠</t>
  </si>
  <si>
    <t>属性增益</t>
    <phoneticPr fontId="5" type="noConversion"/>
  </si>
  <si>
    <t>肉度</t>
    <phoneticPr fontId="5" type="noConversion"/>
  </si>
  <si>
    <t>血量</t>
    <phoneticPr fontId="5" type="noConversion"/>
  </si>
  <si>
    <t>攻击修正</t>
    <phoneticPr fontId="5" type="noConversion"/>
  </si>
  <si>
    <t>血量修正</t>
    <phoneticPr fontId="5" type="noConversion"/>
  </si>
  <si>
    <t>目标修正</t>
    <phoneticPr fontId="5" type="noConversion"/>
  </si>
  <si>
    <t>攻击范围修正</t>
    <phoneticPr fontId="5" type="noConversion"/>
  </si>
  <si>
    <t>移速修正</t>
    <phoneticPr fontId="5" type="noConversion"/>
  </si>
  <si>
    <t>战力系数</t>
    <phoneticPr fontId="5" type="noConversion"/>
  </si>
  <si>
    <t>移动速度</t>
    <phoneticPr fontId="5" type="noConversion"/>
  </si>
  <si>
    <t>攻击标模</t>
    <phoneticPr fontId="5" type="noConversion"/>
  </si>
  <si>
    <t>血量标模</t>
    <phoneticPr fontId="5" type="noConversion"/>
  </si>
  <si>
    <t>巫师</t>
  </si>
  <si>
    <t>治疗</t>
    <phoneticPr fontId="5" type="noConversion"/>
  </si>
  <si>
    <t>攻城</t>
    <phoneticPr fontId="5" type="noConversion"/>
  </si>
  <si>
    <t>标模攻击</t>
    <phoneticPr fontId="5" type="noConversion"/>
  </si>
  <si>
    <t>标模血量</t>
    <phoneticPr fontId="5" type="noConversion"/>
  </si>
  <si>
    <t>系数</t>
    <phoneticPr fontId="5" type="noConversion"/>
  </si>
  <si>
    <t>主角男+3</t>
  </si>
  <si>
    <t>主角男+4</t>
  </si>
  <si>
    <t>主角男+5</t>
  </si>
  <si>
    <t>主角男+6</t>
  </si>
  <si>
    <t>主角男+7</t>
  </si>
  <si>
    <t>主角男+8</t>
  </si>
  <si>
    <t>主角男+9</t>
  </si>
  <si>
    <t>主角男+10</t>
  </si>
  <si>
    <t>主角女+3</t>
  </si>
  <si>
    <t>主角女+4</t>
  </si>
  <si>
    <t>主角女+5</t>
  </si>
  <si>
    <t>主角女+6</t>
  </si>
  <si>
    <t>主角女+7</t>
  </si>
  <si>
    <t>主角女+8</t>
  </si>
  <si>
    <t>主角女+9</t>
  </si>
  <si>
    <t>主角女+10</t>
  </si>
  <si>
    <t>骑士+2</t>
  </si>
  <si>
    <t>骑士+3</t>
  </si>
  <si>
    <t>骑士+4</t>
  </si>
  <si>
    <t>骑士+5</t>
  </si>
  <si>
    <t>骑士+6</t>
  </si>
  <si>
    <t>骑士+7</t>
  </si>
  <si>
    <t>骑士+8</t>
  </si>
  <si>
    <t>骑士+9</t>
  </si>
  <si>
    <t>酒桶泰坦+3</t>
  </si>
  <si>
    <t>酒桶泰坦+4</t>
  </si>
  <si>
    <t>酒桶泰坦+5</t>
  </si>
  <si>
    <t>酒桶泰坦+6</t>
  </si>
  <si>
    <t>酒桶泰坦+7</t>
  </si>
  <si>
    <t>酒桶泰坦+8</t>
  </si>
  <si>
    <t>酒桶泰坦+9</t>
  </si>
  <si>
    <t>酒桶泰坦+10</t>
  </si>
  <si>
    <t>飞矛手+2</t>
  </si>
  <si>
    <t>飞矛手+3</t>
  </si>
  <si>
    <t>飞矛手+4</t>
  </si>
  <si>
    <t>飞矛手+5</t>
  </si>
  <si>
    <t>飞矛手+6</t>
  </si>
  <si>
    <t>飞矛手+7</t>
  </si>
  <si>
    <t>飞矛手+8</t>
  </si>
  <si>
    <t>飞矛手+9</t>
  </si>
  <si>
    <t>飞矛手+10</t>
  </si>
  <si>
    <t>雪人+2</t>
  </si>
  <si>
    <t>雪人+3</t>
  </si>
  <si>
    <t>雪人+4</t>
  </si>
  <si>
    <t>雪人+5</t>
  </si>
  <si>
    <t>雪人+6</t>
  </si>
  <si>
    <t>雪人+7</t>
  </si>
  <si>
    <t>雪人+8</t>
  </si>
  <si>
    <t>雪人+9</t>
  </si>
  <si>
    <t>雪人+10</t>
  </si>
  <si>
    <t>小花+2</t>
  </si>
  <si>
    <t>小花+3</t>
  </si>
  <si>
    <t>小花+4</t>
  </si>
  <si>
    <t>小花+5</t>
  </si>
  <si>
    <t>小花+6</t>
  </si>
  <si>
    <t>小花+7</t>
  </si>
  <si>
    <t>小花+8</t>
  </si>
  <si>
    <t>小花+9</t>
  </si>
  <si>
    <t>小花+10</t>
  </si>
  <si>
    <t>空投者+2</t>
  </si>
  <si>
    <t>空投者+3</t>
  </si>
  <si>
    <t>空投者+4</t>
  </si>
  <si>
    <t>空投者+5</t>
  </si>
  <si>
    <t>空投者+6</t>
  </si>
  <si>
    <t>空投者+7</t>
  </si>
  <si>
    <t>空投者+8</t>
  </si>
  <si>
    <t>空投者+9</t>
  </si>
  <si>
    <t>空投者+10</t>
  </si>
  <si>
    <t>小树妖+2</t>
  </si>
  <si>
    <t>小树妖+3</t>
  </si>
  <si>
    <t>小树妖+4</t>
  </si>
  <si>
    <t>小树妖+5</t>
  </si>
  <si>
    <t>小树妖+6</t>
  </si>
  <si>
    <t>小树妖+7</t>
  </si>
  <si>
    <t>小树妖+8</t>
  </si>
  <si>
    <t>小树妖+9</t>
  </si>
  <si>
    <t>小树妖+10</t>
  </si>
  <si>
    <t>忍者+2</t>
  </si>
  <si>
    <t>忍者+3</t>
  </si>
  <si>
    <t>忍者+4</t>
  </si>
  <si>
    <t>忍者+5</t>
  </si>
  <si>
    <t>忍者+6</t>
  </si>
  <si>
    <t>忍者+7</t>
  </si>
  <si>
    <t>忍者+8</t>
  </si>
  <si>
    <t>忍者+9</t>
  </si>
  <si>
    <t>忍者+10</t>
  </si>
  <si>
    <t>英雄-阴阳师+2</t>
  </si>
  <si>
    <t>英雄-阴阳师+3</t>
  </si>
  <si>
    <t>英雄-阴阳师+4</t>
  </si>
  <si>
    <t>英雄-阴阳师+5</t>
  </si>
  <si>
    <t>英雄-阴阳师+6</t>
  </si>
  <si>
    <t>英雄-阴阳师+7</t>
  </si>
  <si>
    <t>英雄-阴阳师+8</t>
  </si>
  <si>
    <t>英雄-阴阳师+9</t>
  </si>
  <si>
    <t>英雄-阴阳师+10</t>
  </si>
  <si>
    <t>英雄-暴风女+2</t>
  </si>
  <si>
    <t>英雄-暴风女+3</t>
  </si>
  <si>
    <t>英雄-暴风女+4</t>
  </si>
  <si>
    <t>英雄-暴风女+5</t>
  </si>
  <si>
    <t>英雄-暴风女+6</t>
  </si>
  <si>
    <t>英雄-暴风女+7</t>
  </si>
  <si>
    <t>英雄-暴风女+8</t>
  </si>
  <si>
    <t>英雄-暴风女+9</t>
  </si>
  <si>
    <t>英雄-暴风女+10</t>
  </si>
  <si>
    <t>忍者分身+2</t>
  </si>
  <si>
    <t>忍者分身+3</t>
  </si>
  <si>
    <t>忍者分身+4</t>
  </si>
  <si>
    <t>忍者分身+5</t>
  </si>
  <si>
    <t>忍者分身+6</t>
  </si>
  <si>
    <t>忍者分身+7</t>
  </si>
  <si>
    <t>忍者分身+8</t>
  </si>
  <si>
    <t>忍者分身+9</t>
  </si>
  <si>
    <t>忍者分身+10</t>
  </si>
  <si>
    <t>力士+1</t>
    <phoneticPr fontId="10" type="noConversion"/>
  </si>
  <si>
    <t>力士+2</t>
  </si>
  <si>
    <t>力士+3</t>
  </si>
  <si>
    <t>力士+4</t>
  </si>
  <si>
    <t>力士+5</t>
  </si>
  <si>
    <t>力士+6</t>
  </si>
  <si>
    <t>力士+7</t>
  </si>
  <si>
    <t>力士+8</t>
  </si>
  <si>
    <t>力士+9</t>
  </si>
  <si>
    <t>力士+10</t>
  </si>
  <si>
    <t>英雄-zero+2</t>
  </si>
  <si>
    <t>英雄-zero+3</t>
  </si>
  <si>
    <t>英雄-zero+4</t>
  </si>
  <si>
    <t>英雄-zero+5</t>
  </si>
  <si>
    <t>英雄-zero+6</t>
  </si>
  <si>
    <t>英雄-zero+7</t>
  </si>
  <si>
    <t>英雄-zero+8</t>
  </si>
  <si>
    <t>英雄-zero+9</t>
  </si>
  <si>
    <t>英雄-zero+10</t>
  </si>
  <si>
    <t>小炮手+2</t>
  </si>
  <si>
    <t>小炮手+3</t>
  </si>
  <si>
    <t>小炮手+4</t>
  </si>
  <si>
    <t>小炮手+5</t>
  </si>
  <si>
    <t>小炮手+6</t>
  </si>
  <si>
    <t>小炮手+7</t>
  </si>
  <si>
    <t>小炮手+8</t>
  </si>
  <si>
    <t>小炮手+9</t>
  </si>
  <si>
    <t>小炮手+10</t>
  </si>
  <si>
    <t>铠甲熊+2</t>
  </si>
  <si>
    <t>铠甲熊+3</t>
  </si>
  <si>
    <t>铠甲熊+4</t>
  </si>
  <si>
    <t>铠甲熊+5</t>
  </si>
  <si>
    <t>铠甲熊+6</t>
  </si>
  <si>
    <t>铠甲熊+7</t>
  </si>
  <si>
    <t>铠甲熊+8</t>
  </si>
  <si>
    <t>铠甲熊+9</t>
  </si>
  <si>
    <t>铠甲熊+10</t>
  </si>
  <si>
    <t>狂暴巨人+2</t>
  </si>
  <si>
    <t>狂暴巨人+3</t>
  </si>
  <si>
    <t>狂暴巨人+4</t>
  </si>
  <si>
    <t>狂暴巨人+5</t>
  </si>
  <si>
    <t>狂暴巨人+6</t>
  </si>
  <si>
    <t>狂暴巨人+7</t>
  </si>
  <si>
    <t>狂暴巨人+8</t>
  </si>
  <si>
    <t>狂暴巨人+9</t>
  </si>
  <si>
    <t>狂暴巨人+10</t>
  </si>
  <si>
    <t>英雄-小恩+2</t>
  </si>
  <si>
    <t>英雄-小恩+3</t>
  </si>
  <si>
    <t>英雄-小恩+4</t>
  </si>
  <si>
    <t>英雄-小恩+5</t>
  </si>
  <si>
    <t>英雄-小恩+6</t>
  </si>
  <si>
    <t>英雄-小恩+7</t>
  </si>
  <si>
    <t>英雄-小恩+8</t>
  </si>
  <si>
    <t>英雄-小恩+9</t>
  </si>
  <si>
    <t>英雄-小恩+10</t>
  </si>
  <si>
    <t>英雄-牛头酋长+2</t>
  </si>
  <si>
    <t>英雄-牛头酋长+3</t>
  </si>
  <si>
    <t>英雄-牛头酋长+4</t>
  </si>
  <si>
    <t>英雄-牛头酋长+5</t>
  </si>
  <si>
    <t>英雄-牛头酋长+6</t>
  </si>
  <si>
    <t>英雄-牛头酋长+7</t>
  </si>
  <si>
    <t>英雄-牛头酋长+8</t>
  </si>
  <si>
    <t>英雄-牛头酋长+9</t>
  </si>
  <si>
    <t>英雄-牛头酋长+10</t>
  </si>
  <si>
    <t>英雄-卡亚+2</t>
  </si>
  <si>
    <t>英雄-卡亚+3</t>
  </si>
  <si>
    <t>英雄-卡亚+4</t>
  </si>
  <si>
    <t>英雄-卡亚+5</t>
  </si>
  <si>
    <t>英雄-卡亚+6</t>
  </si>
  <si>
    <t>英雄-卡亚+7</t>
  </si>
  <si>
    <t>英雄-卡亚+8</t>
  </si>
  <si>
    <t>英雄-卡亚+9</t>
  </si>
  <si>
    <t>英雄-卡亚+10</t>
  </si>
  <si>
    <t>英雄-白幽灵+2</t>
  </si>
  <si>
    <t>英雄-白幽灵+3</t>
  </si>
  <si>
    <t>英雄-白幽灵+4</t>
  </si>
  <si>
    <t>英雄-白幽灵+5</t>
  </si>
  <si>
    <t>英雄-白幽灵+6</t>
  </si>
  <si>
    <t>英雄-白幽灵+7</t>
  </si>
  <si>
    <t>英雄-白幽灵+8</t>
  </si>
  <si>
    <t>英雄-白幽灵+9</t>
  </si>
  <si>
    <t>英雄-白幽灵+10</t>
  </si>
  <si>
    <t>暴风步兵+2</t>
  </si>
  <si>
    <t>暴风步兵+3</t>
  </si>
  <si>
    <t>暴风步兵+4</t>
  </si>
  <si>
    <t>暴风步兵+5</t>
  </si>
  <si>
    <t>暴风步兵+6</t>
  </si>
  <si>
    <t>暴风步兵+7</t>
  </si>
  <si>
    <t>暴风步兵+8</t>
  </si>
  <si>
    <t>暴风步兵+9</t>
  </si>
  <si>
    <t>暴风步兵+10</t>
  </si>
  <si>
    <t>鹰身人+2</t>
  </si>
  <si>
    <t>鹰身人+3</t>
  </si>
  <si>
    <t>鹰身人+4</t>
  </si>
  <si>
    <t>鹰身人+5</t>
  </si>
  <si>
    <t>鹰身人+6</t>
  </si>
  <si>
    <t>鹰身人+7</t>
  </si>
  <si>
    <t>鹰身人+8</t>
  </si>
  <si>
    <t>鹰身人+9</t>
  </si>
  <si>
    <t>鹰身人+10</t>
  </si>
  <si>
    <t>斯巴达+2</t>
  </si>
  <si>
    <t>斯巴达+3</t>
  </si>
  <si>
    <t>斯巴达+4</t>
  </si>
  <si>
    <t>斯巴达+5</t>
  </si>
  <si>
    <t>斯巴达+6</t>
  </si>
  <si>
    <t>斯巴达+7</t>
  </si>
  <si>
    <t>斯巴达+8</t>
  </si>
  <si>
    <t>斯巴达+9</t>
  </si>
  <si>
    <t>斯巴达+10</t>
  </si>
  <si>
    <t>樱花武士+2</t>
  </si>
  <si>
    <t>樱花武士+3</t>
  </si>
  <si>
    <t>樱花武士+4</t>
  </si>
  <si>
    <t>樱花武士+5</t>
  </si>
  <si>
    <t>樱花武士+6</t>
  </si>
  <si>
    <t>樱花武士+7</t>
  </si>
  <si>
    <t>樱花武士+8</t>
  </si>
  <si>
    <t>樱花武士+9</t>
  </si>
  <si>
    <t>樱花武士+10</t>
  </si>
  <si>
    <t>黑岩+2</t>
  </si>
  <si>
    <t>黑岩+3</t>
  </si>
  <si>
    <t>黑岩+4</t>
  </si>
  <si>
    <t>黑岩+5</t>
  </si>
  <si>
    <t>黑岩+6</t>
  </si>
  <si>
    <t>黑岩+7</t>
  </si>
  <si>
    <t>黑岩+8</t>
  </si>
  <si>
    <t>黑岩+9</t>
  </si>
  <si>
    <t>黑岩+10</t>
  </si>
  <si>
    <t>大嘴巨人+2</t>
  </si>
  <si>
    <t>大嘴巨人+3</t>
  </si>
  <si>
    <t>大嘴巨人+4</t>
  </si>
  <si>
    <t>大嘴巨人+5</t>
  </si>
  <si>
    <t>大嘴巨人+6</t>
  </si>
  <si>
    <t>大嘴巨人+7</t>
  </si>
  <si>
    <t>大嘴巨人+8</t>
  </si>
  <si>
    <t>大嘴巨人+9</t>
  </si>
  <si>
    <t>大嘴巨人+10</t>
  </si>
  <si>
    <t>大嘴分身+3</t>
  </si>
  <si>
    <t>大嘴分身+4</t>
  </si>
  <si>
    <t>大嘴分身+5</t>
  </si>
  <si>
    <t>大嘴分身+6</t>
  </si>
  <si>
    <t>大嘴分身+7</t>
  </si>
  <si>
    <t>大嘴分身+8</t>
  </si>
  <si>
    <t>大嘴分身+9</t>
  </si>
  <si>
    <t>大嘴分身+10</t>
  </si>
  <si>
    <t>钢刀+2</t>
  </si>
  <si>
    <t>钢刀+3</t>
  </si>
  <si>
    <t>钢刀+4</t>
  </si>
  <si>
    <t>钢刀+5</t>
  </si>
  <si>
    <t>钢刀+6</t>
  </si>
  <si>
    <t>钢刀+7</t>
  </si>
  <si>
    <t>钢刀+8</t>
  </si>
  <si>
    <t>钢刀+9</t>
  </si>
  <si>
    <t>钢刀+10</t>
  </si>
  <si>
    <t>术士古尔丹</t>
    <phoneticPr fontId="10" type="noConversion"/>
  </si>
  <si>
    <t>术士古尔丹+2</t>
  </si>
  <si>
    <t>术士古尔丹+3</t>
  </si>
  <si>
    <t>术士古尔丹+4</t>
  </si>
  <si>
    <t>术士古尔丹+5</t>
  </si>
  <si>
    <t>术士古尔丹+6</t>
  </si>
  <si>
    <t>术士古尔丹+7</t>
  </si>
  <si>
    <t>术士古尔丹+8</t>
  </si>
  <si>
    <t>术士古尔丹+9</t>
  </si>
  <si>
    <t>术士古尔丹+10</t>
  </si>
  <si>
    <t>守护泰坦</t>
  </si>
  <si>
    <t>守护泰坦+1</t>
  </si>
  <si>
    <t>守护泰坦+2</t>
  </si>
  <si>
    <t>守护泰坦+3</t>
  </si>
  <si>
    <t>守护泰坦+4</t>
  </si>
  <si>
    <t>守护泰坦+5</t>
  </si>
  <si>
    <t>守护泰坦+6</t>
  </si>
  <si>
    <t>守护泰坦+7</t>
  </si>
  <si>
    <t>守护泰坦+8</t>
  </si>
  <si>
    <t>守护泰坦+9</t>
  </si>
  <si>
    <t>守护泰坦+10</t>
  </si>
  <si>
    <t>邪恶守卫</t>
    <phoneticPr fontId="10" type="noConversion"/>
  </si>
  <si>
    <t>邪恶守卫+1</t>
    <phoneticPr fontId="10" type="noConversion"/>
  </si>
  <si>
    <t>邪恶守卫+2</t>
  </si>
  <si>
    <t>邪恶守卫+3</t>
  </si>
  <si>
    <t>邪恶守卫+4</t>
  </si>
  <si>
    <t>邪恶守卫+5</t>
  </si>
  <si>
    <t>邪恶守卫+6</t>
  </si>
  <si>
    <t>邪恶守卫+7</t>
  </si>
  <si>
    <t>邪恶守卫+8</t>
  </si>
  <si>
    <t>邪恶守卫+9</t>
  </si>
  <si>
    <t>邪恶守卫+10</t>
  </si>
  <si>
    <t>泰兰+2</t>
  </si>
  <si>
    <t>泰兰+3</t>
  </si>
  <si>
    <t>泰兰+4</t>
  </si>
  <si>
    <t>泰兰+5</t>
  </si>
  <si>
    <t>泰兰+6</t>
  </si>
  <si>
    <t>泰兰+7</t>
  </si>
  <si>
    <t>泰兰+8</t>
  </si>
  <si>
    <t>泰兰+9</t>
  </si>
  <si>
    <t>泰兰+10</t>
  </si>
  <si>
    <t>英雄-喵夫人+1</t>
    <phoneticPr fontId="10" type="noConversion"/>
  </si>
  <si>
    <t>英雄-喵夫人+2</t>
  </si>
  <si>
    <t>英雄-喵夫人+3</t>
  </si>
  <si>
    <t>英雄-喵夫人+4</t>
  </si>
  <si>
    <t>英雄-喵夫人+5</t>
  </si>
  <si>
    <t>英雄-喵夫人+6</t>
  </si>
  <si>
    <t>英雄-喵夫人+7</t>
  </si>
  <si>
    <t>英雄-喵夫人+8</t>
  </si>
  <si>
    <t>英雄-喵夫人+9</t>
  </si>
  <si>
    <t>英雄-喵夫人+10</t>
  </si>
  <si>
    <t>喵卫士</t>
    <phoneticPr fontId="10" type="noConversion"/>
  </si>
  <si>
    <t>喵卫士+1</t>
    <phoneticPr fontId="10" type="noConversion"/>
  </si>
  <si>
    <t>喵卫士+2</t>
  </si>
  <si>
    <t>喵卫士+3</t>
  </si>
  <si>
    <t>喵卫士+4</t>
  </si>
  <si>
    <t>喵卫士+5</t>
  </si>
  <si>
    <t>喵卫士+6</t>
  </si>
  <si>
    <t>喵卫士+7</t>
  </si>
  <si>
    <t>喵卫士+8</t>
  </si>
  <si>
    <t>喵卫士+9</t>
  </si>
  <si>
    <t>喵卫士+10</t>
  </si>
  <si>
    <t>粉红女巫</t>
    <phoneticPr fontId="10" type="noConversion"/>
  </si>
  <si>
    <t>粉红女巫+2</t>
  </si>
  <si>
    <t>粉红女巫+3</t>
  </si>
  <si>
    <t>粉红女巫+4</t>
  </si>
  <si>
    <t>粉红女巫+5</t>
  </si>
  <si>
    <t>粉红女巫+6</t>
  </si>
  <si>
    <t>粉红女巫+7</t>
  </si>
  <si>
    <t>粉红女巫+8</t>
  </si>
  <si>
    <t>粉红女巫+9</t>
  </si>
  <si>
    <t>粉红女巫+10</t>
  </si>
  <si>
    <t>小鹿+1</t>
    <phoneticPr fontId="10" type="noConversion"/>
  </si>
  <si>
    <t>小鹿+2</t>
  </si>
  <si>
    <t>小鹿+3</t>
  </si>
  <si>
    <t>小鹿+4</t>
  </si>
  <si>
    <t>小鹿+5</t>
  </si>
  <si>
    <t>小鹿+6</t>
  </si>
  <si>
    <t>小鹿+7</t>
  </si>
  <si>
    <t>小鹿+8</t>
  </si>
  <si>
    <t>小鹿+9</t>
  </si>
  <si>
    <t>小鹿+10</t>
  </si>
  <si>
    <t>投棘者+1</t>
    <phoneticPr fontId="10" type="noConversion"/>
  </si>
  <si>
    <t>投棘者+2</t>
  </si>
  <si>
    <t>投棘者+3</t>
  </si>
  <si>
    <t>投棘者+4</t>
  </si>
  <si>
    <t>投棘者+5</t>
  </si>
  <si>
    <t>投棘者+6</t>
  </si>
  <si>
    <t>投棘者+7</t>
  </si>
  <si>
    <t>投棘者+8</t>
  </si>
  <si>
    <t>投棘者+10</t>
  </si>
  <si>
    <t>红宝石法师+2</t>
  </si>
  <si>
    <t>红宝石法师+3</t>
  </si>
  <si>
    <t>红宝石法师+4</t>
  </si>
  <si>
    <t>红宝石法师+5</t>
  </si>
  <si>
    <t>红宝石法师+6</t>
  </si>
  <si>
    <t>红宝石法师+7</t>
  </si>
  <si>
    <t>红宝石法师+8</t>
  </si>
  <si>
    <t>红宝石法师+9</t>
  </si>
  <si>
    <t>红宝石法师+10</t>
  </si>
  <si>
    <t>蓝电法师</t>
    <phoneticPr fontId="10" type="noConversion"/>
  </si>
  <si>
    <t>蓝电法师+2</t>
  </si>
  <si>
    <t>蓝电法师+3</t>
  </si>
  <si>
    <t>蓝电法师+4</t>
  </si>
  <si>
    <t>蓝电法师+5</t>
  </si>
  <si>
    <t>蓝电法师+6</t>
  </si>
  <si>
    <t>蓝电法师+7</t>
  </si>
  <si>
    <t>蓝电法师+8</t>
  </si>
  <si>
    <t>蓝电法师+9</t>
  </si>
  <si>
    <t>蓝电法师+10</t>
  </si>
  <si>
    <t>火焰领主</t>
  </si>
  <si>
    <t>火焰领主+1</t>
  </si>
  <si>
    <t>火焰领主+2</t>
  </si>
  <si>
    <t>火焰领主+3</t>
  </si>
  <si>
    <t>火焰领主+4</t>
  </si>
  <si>
    <t>火焰领主+5</t>
  </si>
  <si>
    <t>火焰领主+6</t>
  </si>
  <si>
    <t>火焰领主+7</t>
  </si>
  <si>
    <t>火焰领主+8</t>
  </si>
  <si>
    <t>火焰领主+9</t>
  </si>
  <si>
    <t>火焰领主+10</t>
  </si>
  <si>
    <t>左护法+2</t>
  </si>
  <si>
    <t>左护法+3</t>
  </si>
  <si>
    <t>左护法+4</t>
  </si>
  <si>
    <t>左护法+5</t>
  </si>
  <si>
    <t>左护法+6</t>
  </si>
  <si>
    <t>左护法+7</t>
  </si>
  <si>
    <t>左护法+8</t>
  </si>
  <si>
    <t>左护法+9</t>
  </si>
  <si>
    <t>左护法+10</t>
  </si>
  <si>
    <t>右护法+2</t>
  </si>
  <si>
    <t>右护法+3</t>
  </si>
  <si>
    <t>右护法+4</t>
  </si>
  <si>
    <t>右护法+5</t>
  </si>
  <si>
    <t>右护法+6</t>
  </si>
  <si>
    <t>右护法+7</t>
  </si>
  <si>
    <t>右护法+8</t>
  </si>
  <si>
    <t>右护法+9</t>
  </si>
  <si>
    <t>右护法+10</t>
  </si>
  <si>
    <t>喵夫人-卫士+2</t>
  </si>
  <si>
    <t>喵夫人-卫士+3</t>
  </si>
  <si>
    <t>喵夫人-卫士+4</t>
  </si>
  <si>
    <t>喵夫人-卫士+5</t>
  </si>
  <si>
    <t>喵夫人-卫士+6</t>
  </si>
  <si>
    <t>喵夫人-卫士+7</t>
  </si>
  <si>
    <t>喵夫人-卫士+8</t>
  </si>
  <si>
    <t>喵夫人-卫士+9</t>
  </si>
  <si>
    <t>喵夫人-卫士+10</t>
  </si>
  <si>
    <t>火焰领主1分裂+2</t>
  </si>
  <si>
    <t>火焰领主1分裂+3</t>
  </si>
  <si>
    <t>火焰领主1分裂+4</t>
  </si>
  <si>
    <t>火焰领主1分裂+5</t>
  </si>
  <si>
    <t>火焰领主1分裂+6</t>
  </si>
  <si>
    <t>火焰领主1分裂+7</t>
  </si>
  <si>
    <t>火焰领主1分裂+8</t>
  </si>
  <si>
    <t>火焰领主1分裂+9</t>
  </si>
  <si>
    <t>火焰领主1分裂+10</t>
  </si>
  <si>
    <t>火焰领主2分裂+2</t>
  </si>
  <si>
    <t>火焰领主2分裂+3</t>
  </si>
  <si>
    <t>火焰领主2分裂+4</t>
  </si>
  <si>
    <t>火焰领主2分裂+5</t>
  </si>
  <si>
    <t>火焰领主2分裂+6</t>
  </si>
  <si>
    <t>火焰领主2分裂+7</t>
  </si>
  <si>
    <t>火焰领主2分裂+8</t>
  </si>
  <si>
    <t>火焰领主2分裂+9</t>
  </si>
  <si>
    <t>火焰领主2分裂+10</t>
  </si>
  <si>
    <t>魅魔+2</t>
  </si>
  <si>
    <t>魅魔+3</t>
  </si>
  <si>
    <t>魅魔+4</t>
  </si>
  <si>
    <t>魅魔+5</t>
  </si>
  <si>
    <t>魅魔+6</t>
  </si>
  <si>
    <t>魅魔+7</t>
  </si>
  <si>
    <t>魅魔+8</t>
  </si>
  <si>
    <t>魅魔+9</t>
  </si>
  <si>
    <t>魅魔+10</t>
  </si>
  <si>
    <t>死神+2</t>
  </si>
  <si>
    <t>死神+3</t>
  </si>
  <si>
    <t>死神+4</t>
  </si>
  <si>
    <t>死神+5</t>
  </si>
  <si>
    <t>死神+6</t>
  </si>
  <si>
    <t>死神+7</t>
  </si>
  <si>
    <t>死神+8</t>
  </si>
  <si>
    <t>死神+9</t>
  </si>
  <si>
    <t>死神+10</t>
  </si>
  <si>
    <t>祖母+2</t>
  </si>
  <si>
    <t>祖母+3</t>
  </si>
  <si>
    <t>祖母+4</t>
  </si>
  <si>
    <t>祖母+5</t>
  </si>
  <si>
    <t>祖母+6</t>
  </si>
  <si>
    <t>祖母+7</t>
  </si>
  <si>
    <t>祖母+8</t>
  </si>
  <si>
    <t>祖母+9</t>
  </si>
  <si>
    <t>祖母+10</t>
  </si>
  <si>
    <t>进阶数据</t>
    <phoneticPr fontId="5" type="noConversion"/>
  </si>
  <si>
    <t>进阶数</t>
    <phoneticPr fontId="5" type="noConversion"/>
  </si>
  <si>
    <t>气血</t>
    <phoneticPr fontId="5" type="noConversion"/>
  </si>
  <si>
    <t>攻击</t>
    <phoneticPr fontId="5" type="noConversion"/>
  </si>
  <si>
    <t>气血成长</t>
    <phoneticPr fontId="5" type="noConversion"/>
  </si>
  <si>
    <t>攻击成长</t>
    <phoneticPr fontId="5" type="noConversion"/>
  </si>
  <si>
    <t>总等级</t>
    <phoneticPr fontId="5" type="noConversion"/>
  </si>
  <si>
    <t>等级膨胀</t>
    <phoneticPr fontId="5" type="noConversion"/>
  </si>
  <si>
    <t>进阶膨胀</t>
    <phoneticPr fontId="5" type="noConversion"/>
  </si>
  <si>
    <t>每级膨胀</t>
    <phoneticPr fontId="5" type="noConversion"/>
  </si>
  <si>
    <t>忍者分身</t>
    <phoneticPr fontId="5" type="noConversion"/>
  </si>
  <si>
    <t>大嘴分身</t>
    <phoneticPr fontId="5" type="noConversion"/>
  </si>
  <si>
    <t>邪恶守卫</t>
    <phoneticPr fontId="5" type="noConversion"/>
  </si>
  <si>
    <t>火焰领主分裂</t>
    <phoneticPr fontId="5" type="noConversion"/>
  </si>
  <si>
    <t>火焰领主分裂2</t>
    <phoneticPr fontId="5" type="noConversion"/>
  </si>
  <si>
    <t>飞矛手普攻</t>
  </si>
  <si>
    <t>骑士普攻+3</t>
  </si>
  <si>
    <t>骑士普攻+4</t>
  </si>
  <si>
    <t>骑士普攻+5</t>
  </si>
  <si>
    <t>骑士普攻+6</t>
  </si>
  <si>
    <t>骑士普攻+7</t>
  </si>
  <si>
    <t>骑士普攻+8</t>
  </si>
  <si>
    <t>骑士普攻+9</t>
  </si>
  <si>
    <t>骑士普攻+10</t>
  </si>
  <si>
    <t>酒桶普攻+3</t>
  </si>
  <si>
    <t>酒桶普攻+4</t>
  </si>
  <si>
    <t>酒桶普攻+5</t>
  </si>
  <si>
    <t>酒桶普攻+6</t>
  </si>
  <si>
    <t>酒桶普攻+7</t>
  </si>
  <si>
    <t>酒桶普攻+8</t>
  </si>
  <si>
    <t>酒桶普攻+9</t>
  </si>
  <si>
    <t>酒桶普攻+10</t>
  </si>
  <si>
    <t>飞矛手普攻+1</t>
  </si>
  <si>
    <t>飞矛手普攻+2</t>
  </si>
  <si>
    <t>飞矛手普攻+3</t>
  </si>
  <si>
    <t>飞矛手普攻+4</t>
  </si>
  <si>
    <t>飞矛手普攻+5</t>
  </si>
  <si>
    <t>飞矛手普攻+6</t>
  </si>
  <si>
    <t>飞矛手普攻+7</t>
  </si>
  <si>
    <t>飞矛手普攻+8</t>
  </si>
  <si>
    <t>飞矛手普攻+9</t>
  </si>
  <si>
    <t>飞矛手普攻+10</t>
  </si>
  <si>
    <t>雪人普攻+2</t>
  </si>
  <si>
    <t>雪人普攻+3</t>
  </si>
  <si>
    <t>雪人普攻+4</t>
  </si>
  <si>
    <t>雪人普攻+5</t>
  </si>
  <si>
    <t>雪人普攻+6</t>
  </si>
  <si>
    <t>雪人普攻+7</t>
  </si>
  <si>
    <t>雪人普攻+8</t>
  </si>
  <si>
    <t>雪人普攻+9</t>
  </si>
  <si>
    <t>雪人普攻+10</t>
  </si>
  <si>
    <t>小花普攻+2</t>
  </si>
  <si>
    <t>小花普攻+3</t>
  </si>
  <si>
    <t>小花普攻+4</t>
  </si>
  <si>
    <t>小花普攻+5</t>
  </si>
  <si>
    <t>小花普攻+6</t>
  </si>
  <si>
    <t>小花普攻+7</t>
  </si>
  <si>
    <t>小花普攻+8</t>
  </si>
  <si>
    <t>小花普攻+9</t>
  </si>
  <si>
    <t>小花普攻+10</t>
  </si>
  <si>
    <t>空投者普攻+2</t>
  </si>
  <si>
    <t>空投者普攻+3</t>
  </si>
  <si>
    <t>空投者普攻+4</t>
  </si>
  <si>
    <t>空投者普攻+5</t>
  </si>
  <si>
    <t>空投者普攻+6</t>
  </si>
  <si>
    <t>空投者普攻+7</t>
  </si>
  <si>
    <t>空投者普攻+8</t>
  </si>
  <si>
    <t>空投者普攻+9</t>
  </si>
  <si>
    <t>空投者普攻+10</t>
  </si>
  <si>
    <t>小树妖普攻+2</t>
  </si>
  <si>
    <t>小树妖普攻+3</t>
  </si>
  <si>
    <t>小树妖普攻+4</t>
  </si>
  <si>
    <t>小树妖普攻+5</t>
  </si>
  <si>
    <t>小树妖普攻+6</t>
  </si>
  <si>
    <t>小树妖普攻+7</t>
  </si>
  <si>
    <t>小树妖普攻+8</t>
  </si>
  <si>
    <t>小树妖普攻+9</t>
  </si>
  <si>
    <t>小树妖普攻+10</t>
  </si>
  <si>
    <t>忍者普攻+2</t>
  </si>
  <si>
    <t>忍者普攻+3</t>
  </si>
  <si>
    <t>忍者普攻+4</t>
  </si>
  <si>
    <t>忍者普攻+5</t>
  </si>
  <si>
    <t>忍者普攻+6</t>
  </si>
  <si>
    <t>忍者普攻+7</t>
  </si>
  <si>
    <t>忍者普攻+8</t>
  </si>
  <si>
    <t>忍者普攻+9</t>
  </si>
  <si>
    <t>忍者普攻+10</t>
  </si>
  <si>
    <t>阴阳师普攻+2</t>
  </si>
  <si>
    <t>阴阳师普攻+3</t>
  </si>
  <si>
    <t>阴阳师普攻+4</t>
  </si>
  <si>
    <t>阴阳师普攻+5</t>
  </si>
  <si>
    <t>阴阳师普攻+6</t>
  </si>
  <si>
    <t>阴阳师普攻+7</t>
  </si>
  <si>
    <t>阴阳师普攻+8</t>
  </si>
  <si>
    <t>阴阳师普攻+9</t>
  </si>
  <si>
    <t>阴阳师普攻+10</t>
  </si>
  <si>
    <t>暴风女普攻+2</t>
  </si>
  <si>
    <t>暴风女普攻+3</t>
  </si>
  <si>
    <t>暴风女普攻+4</t>
  </si>
  <si>
    <t>暴风女普攻+5</t>
  </si>
  <si>
    <t>暴风女普攻+6</t>
  </si>
  <si>
    <t>暴风女普攻+7</t>
  </si>
  <si>
    <t>暴风女普攻+8</t>
  </si>
  <si>
    <t>暴风女普攻+9</t>
  </si>
  <si>
    <t>暴风女普攻+10</t>
  </si>
  <si>
    <t>暴风女技能+2</t>
  </si>
  <si>
    <t>暴风女技能+3</t>
  </si>
  <si>
    <t>暴风女技能+4</t>
  </si>
  <si>
    <t>暴风女技能+5</t>
  </si>
  <si>
    <t>暴风女技能+6</t>
  </si>
  <si>
    <t>暴风女技能+7</t>
  </si>
  <si>
    <t>暴风女技能+8</t>
  </si>
  <si>
    <t>暴风女技能+9</t>
  </si>
  <si>
    <t>暴风女技能+10</t>
  </si>
  <si>
    <t>力士普攻+2</t>
  </si>
  <si>
    <t>力士普攻+3</t>
  </si>
  <si>
    <t>力士普攻+4</t>
  </si>
  <si>
    <t>力士普攻+5</t>
  </si>
  <si>
    <t>力士普攻+6</t>
  </si>
  <si>
    <t>力士普攻+7</t>
  </si>
  <si>
    <t>力士普攻+8</t>
  </si>
  <si>
    <t>力士普攻+9</t>
  </si>
  <si>
    <t>力士普攻+10</t>
  </si>
  <si>
    <t>飞矛手毒箭+1</t>
  </si>
  <si>
    <t>飞矛手毒箭+2</t>
  </si>
  <si>
    <t>飞矛手毒箭+3</t>
  </si>
  <si>
    <t>飞矛手毒箭+4</t>
  </si>
  <si>
    <t>飞矛手毒箭+5</t>
  </si>
  <si>
    <t>飞矛手毒箭+6</t>
  </si>
  <si>
    <t>飞矛手毒箭+7</t>
  </si>
  <si>
    <t>飞矛手毒箭+8</t>
  </si>
  <si>
    <t>飞矛手毒箭+9</t>
  </si>
  <si>
    <t>飞矛手毒箭+10</t>
  </si>
  <si>
    <t>zero普攻+2</t>
  </si>
  <si>
    <t>zero普攻+3</t>
  </si>
  <si>
    <t>zero普攻+4</t>
  </si>
  <si>
    <t>zero普攻+5</t>
  </si>
  <si>
    <t>zero普攻+6</t>
  </si>
  <si>
    <t>zero普攻+7</t>
  </si>
  <si>
    <t>zero普攻+8</t>
  </si>
  <si>
    <t>zero普攻+9</t>
  </si>
  <si>
    <t>zero普攻+10</t>
  </si>
  <si>
    <t>zero技能+2</t>
  </si>
  <si>
    <t>zero技能+3</t>
  </si>
  <si>
    <t>zero技能+4</t>
  </si>
  <si>
    <t>zero技能+5</t>
  </si>
  <si>
    <t>zero技能+6</t>
  </si>
  <si>
    <t>zero技能+7</t>
  </si>
  <si>
    <t>zero技能+8</t>
  </si>
  <si>
    <t>zero技能+9</t>
  </si>
  <si>
    <t>zero技能+10</t>
  </si>
  <si>
    <t>小炮普攻+2</t>
  </si>
  <si>
    <t>小炮普攻+3</t>
  </si>
  <si>
    <t>小炮普攻+4</t>
  </si>
  <si>
    <t>小炮普攻+5</t>
  </si>
  <si>
    <t>小炮普攻+6</t>
  </si>
  <si>
    <t>小炮普攻+7</t>
  </si>
  <si>
    <t>小炮普攻+8</t>
  </si>
  <si>
    <t>小炮普攻+9</t>
  </si>
  <si>
    <t>小炮普攻+10</t>
  </si>
  <si>
    <t>铠甲熊普攻+2</t>
  </si>
  <si>
    <t>铠甲熊普攻+3</t>
  </si>
  <si>
    <t>铠甲熊普攻+4</t>
  </si>
  <si>
    <t>铠甲熊普攻+5</t>
  </si>
  <si>
    <t>铠甲熊普攻+6</t>
  </si>
  <si>
    <t>铠甲熊普攻+7</t>
  </si>
  <si>
    <t>铠甲熊普攻+8</t>
  </si>
  <si>
    <t>铠甲熊普攻+9</t>
  </si>
  <si>
    <t>铠甲熊普攻+10</t>
  </si>
  <si>
    <t>小恩普攻+2</t>
  </si>
  <si>
    <t>小恩普攻+3</t>
  </si>
  <si>
    <t>小恩普攻+4</t>
  </si>
  <si>
    <t>小恩普攻+5</t>
  </si>
  <si>
    <t>小恩普攻+6</t>
  </si>
  <si>
    <t>小恩普攻+7</t>
  </si>
  <si>
    <t>小恩普攻+8</t>
  </si>
  <si>
    <t>小恩普攻+9</t>
  </si>
  <si>
    <t>小恩普攻+10</t>
  </si>
  <si>
    <t>酋长普攻+2</t>
  </si>
  <si>
    <t>酋长普攻+3</t>
  </si>
  <si>
    <t>酋长普攻+4</t>
  </si>
  <si>
    <t>酋长普攻+5</t>
  </si>
  <si>
    <t>酋长普攻+6</t>
  </si>
  <si>
    <t>酋长普攻+7</t>
  </si>
  <si>
    <t>酋长普攻+8</t>
  </si>
  <si>
    <t>酋长普攻+9</t>
  </si>
  <si>
    <t>酋长普攻+10</t>
  </si>
  <si>
    <t>小恩技能+2</t>
  </si>
  <si>
    <t>小恩技能+3</t>
  </si>
  <si>
    <t>小恩技能+4</t>
  </si>
  <si>
    <t>小恩技能+5</t>
  </si>
  <si>
    <t>小恩技能+6</t>
  </si>
  <si>
    <t>小恩技能+7</t>
  </si>
  <si>
    <t>小恩技能+8</t>
  </si>
  <si>
    <t>小恩技能+9</t>
  </si>
  <si>
    <t>小恩技能+10</t>
  </si>
  <si>
    <t>酋长技能+2</t>
  </si>
  <si>
    <t>酋长技能+3</t>
  </si>
  <si>
    <t>酋长技能+4</t>
  </si>
  <si>
    <t>酋长技能+5</t>
  </si>
  <si>
    <t>酋长技能+6</t>
  </si>
  <si>
    <t>酋长技能+7</t>
  </si>
  <si>
    <t>酋长技能+8</t>
  </si>
  <si>
    <t>酋长技能+9</t>
  </si>
  <si>
    <t>酋长技能+10</t>
  </si>
  <si>
    <t>卡亚普攻+2</t>
  </si>
  <si>
    <t>卡亚普攻+3</t>
  </si>
  <si>
    <t>卡亚普攻+4</t>
  </si>
  <si>
    <t>卡亚普攻+5</t>
  </si>
  <si>
    <t>卡亚普攻+6</t>
  </si>
  <si>
    <t>卡亚普攻+7</t>
  </si>
  <si>
    <t>卡亚普攻+8</t>
  </si>
  <si>
    <t>卡亚普攻+9</t>
  </si>
  <si>
    <t>卡亚普攻+10</t>
  </si>
  <si>
    <t>卡亚技能+2</t>
  </si>
  <si>
    <t>卡亚技能+3</t>
  </si>
  <si>
    <t>卡亚技能+4</t>
  </si>
  <si>
    <t>卡亚技能+5</t>
  </si>
  <si>
    <t>卡亚技能+6</t>
  </si>
  <si>
    <t>卡亚技能+7</t>
  </si>
  <si>
    <t>卡亚技能+8</t>
  </si>
  <si>
    <t>卡亚技能+9</t>
  </si>
  <si>
    <t>卡亚技能+10</t>
  </si>
  <si>
    <t>白幽灵普攻+2</t>
  </si>
  <si>
    <t>白幽灵普攻+3</t>
  </si>
  <si>
    <t>白幽灵普攻+4</t>
  </si>
  <si>
    <t>白幽灵普攻+5</t>
  </si>
  <si>
    <t>白幽灵普攻+6</t>
  </si>
  <si>
    <t>白幽灵普攻+7</t>
  </si>
  <si>
    <t>白幽灵普攻+8</t>
  </si>
  <si>
    <t>白幽灵普攻+9</t>
  </si>
  <si>
    <t>白幽灵普攻+10</t>
  </si>
  <si>
    <t>暴风步兵普攻+2</t>
  </si>
  <si>
    <t>暴风步兵普攻+3</t>
  </si>
  <si>
    <t>暴风步兵普攻+4</t>
  </si>
  <si>
    <t>暴风步兵普攻+5</t>
  </si>
  <si>
    <t>暴风步兵普攻+6</t>
  </si>
  <si>
    <t>暴风步兵普攻+7</t>
  </si>
  <si>
    <t>暴风步兵普攻+8</t>
  </si>
  <si>
    <t>暴风步兵普攻+9</t>
  </si>
  <si>
    <t>暴风步兵普攻+10</t>
  </si>
  <si>
    <t>鹰身人普攻+2</t>
  </si>
  <si>
    <t>鹰身人普攻+3</t>
  </si>
  <si>
    <t>鹰身人普攻+4</t>
  </si>
  <si>
    <t>鹰身人普攻+5</t>
  </si>
  <si>
    <t>鹰身人普攻+6</t>
  </si>
  <si>
    <t>鹰身人普攻+7</t>
  </si>
  <si>
    <t>鹰身人普攻+8</t>
  </si>
  <si>
    <t>鹰身人普攻+9</t>
  </si>
  <si>
    <t>鹰身人普攻+10</t>
  </si>
  <si>
    <t>斯巴达普攻+2</t>
  </si>
  <si>
    <t>斯巴达普攻+3</t>
  </si>
  <si>
    <t>斯巴达普攻+4</t>
  </si>
  <si>
    <t>斯巴达普攻+5</t>
  </si>
  <si>
    <t>斯巴达普攻+6</t>
  </si>
  <si>
    <t>斯巴达普攻+7</t>
  </si>
  <si>
    <t>斯巴达普攻+8</t>
  </si>
  <si>
    <t>斯巴达普攻+9</t>
  </si>
  <si>
    <t>斯巴达普攻+10</t>
  </si>
  <si>
    <t>斯巴达落地晕+2</t>
  </si>
  <si>
    <t>斯巴达落地晕+3</t>
  </si>
  <si>
    <t>斯巴达落地晕+4</t>
  </si>
  <si>
    <t>斯巴达落地晕+5</t>
  </si>
  <si>
    <t>斯巴达落地晕+6</t>
  </si>
  <si>
    <t>斯巴达落地晕+7</t>
  </si>
  <si>
    <t>斯巴达落地晕+8</t>
  </si>
  <si>
    <t>斯巴达落地晕+9</t>
  </si>
  <si>
    <t>斯巴达落地晕+10</t>
  </si>
  <si>
    <t>樱花武士普攻+2</t>
  </si>
  <si>
    <t>樱花武士普攻+3</t>
  </si>
  <si>
    <t>樱花武士普攻+4</t>
  </si>
  <si>
    <t>樱花武士普攻+5</t>
  </si>
  <si>
    <t>樱花武士普攻+6</t>
  </si>
  <si>
    <t>樱花武士普攻+7</t>
  </si>
  <si>
    <t>樱花武士普攻+8</t>
  </si>
  <si>
    <t>樱花武士普攻+9</t>
  </si>
  <si>
    <t>樱花武士普攻+10</t>
  </si>
  <si>
    <t>召唤武士亡魂+2</t>
  </si>
  <si>
    <t>召唤武士亡魂+3</t>
  </si>
  <si>
    <t>召唤武士亡魂+4</t>
  </si>
  <si>
    <t>召唤武士亡魂+5</t>
  </si>
  <si>
    <t>召唤武士亡魂+6</t>
  </si>
  <si>
    <t>召唤武士亡魂+7</t>
  </si>
  <si>
    <t>召唤武士亡魂+8</t>
  </si>
  <si>
    <t>召唤武士亡魂+9</t>
  </si>
  <si>
    <t>召唤武士亡魂+10</t>
  </si>
  <si>
    <t>零法术灼烧+2</t>
  </si>
  <si>
    <t>零法术灼烧+3</t>
  </si>
  <si>
    <t>零法术灼烧+4</t>
  </si>
  <si>
    <t>零法术灼烧+5</t>
  </si>
  <si>
    <t>零法术灼烧+6</t>
  </si>
  <si>
    <t>零法术灼烧+7</t>
  </si>
  <si>
    <t>零法术灼烧+8</t>
  </si>
  <si>
    <t>零法术灼烧+9</t>
  </si>
  <si>
    <t>零法术灼烧+10</t>
  </si>
  <si>
    <t>狂暴巨人普攻+1</t>
    <phoneticPr fontId="10" type="noConversion"/>
  </si>
  <si>
    <t>狂暴巨人普攻+2</t>
  </si>
  <si>
    <t>狂暴巨人普攻+3</t>
  </si>
  <si>
    <t>狂暴巨人普攻+4</t>
  </si>
  <si>
    <t>狂暴巨人普攻+5</t>
  </si>
  <si>
    <t>狂暴巨人普攻+6</t>
  </si>
  <si>
    <t>狂暴巨人普攻+7</t>
  </si>
  <si>
    <t>狂暴巨人普攻+8</t>
  </si>
  <si>
    <t>狂暴巨人普攻+9</t>
  </si>
  <si>
    <t>狂暴巨人普攻+10</t>
  </si>
  <si>
    <t>黑岩普攻+2</t>
  </si>
  <si>
    <t>黑岩普攻+3</t>
  </si>
  <si>
    <t>黑岩普攻+4</t>
  </si>
  <si>
    <t>黑岩普攻+5</t>
  </si>
  <si>
    <t>黑岩普攻+6</t>
  </si>
  <si>
    <t>黑岩普攻+7</t>
  </si>
  <si>
    <t>黑岩普攻+8</t>
  </si>
  <si>
    <t>黑岩普攻+9</t>
  </si>
  <si>
    <t>黑岩普攻+10</t>
  </si>
  <si>
    <t>黑岩技能+2</t>
  </si>
  <si>
    <t>黑岩技能+3</t>
  </si>
  <si>
    <t>黑岩技能+4</t>
  </si>
  <si>
    <t>黑岩技能+5</t>
  </si>
  <si>
    <t>黑岩技能+6</t>
  </si>
  <si>
    <t>黑岩技能+7</t>
  </si>
  <si>
    <t>黑岩技能+8</t>
  </si>
  <si>
    <t>黑岩技能+9</t>
  </si>
  <si>
    <t>黑岩技能+10</t>
  </si>
  <si>
    <t>大嘴巨人普攻+2</t>
  </si>
  <si>
    <t>大嘴巨人普攻+3</t>
  </si>
  <si>
    <t>大嘴巨人普攻+4</t>
  </si>
  <si>
    <t>大嘴巨人普攻+5</t>
  </si>
  <si>
    <t>大嘴巨人普攻+6</t>
  </si>
  <si>
    <t>大嘴巨人普攻+7</t>
  </si>
  <si>
    <t>大嘴巨人普攻+8</t>
  </si>
  <si>
    <t>大嘴巨人普攻+9</t>
  </si>
  <si>
    <t>大嘴巨人普攻+10</t>
  </si>
  <si>
    <t>大嘴巨人召唤+2</t>
  </si>
  <si>
    <t>大嘴巨人召唤+3</t>
  </si>
  <si>
    <t>大嘴巨人召唤+4</t>
  </si>
  <si>
    <t>大嘴巨人召唤+5</t>
  </si>
  <si>
    <t>大嘴巨人召唤+6</t>
  </si>
  <si>
    <t>大嘴巨人召唤+7</t>
  </si>
  <si>
    <t>大嘴巨人召唤+8</t>
  </si>
  <si>
    <t>大嘴巨人召唤+9</t>
  </si>
  <si>
    <t>大嘴巨人召唤+10</t>
  </si>
  <si>
    <t>大嘴分身普攻+2</t>
  </si>
  <si>
    <t>大嘴分身普攻+3</t>
  </si>
  <si>
    <t>大嘴分身普攻+4</t>
  </si>
  <si>
    <t>大嘴分身普攻+5</t>
  </si>
  <si>
    <t>大嘴分身普攻+6</t>
  </si>
  <si>
    <t>大嘴分身普攻+7</t>
  </si>
  <si>
    <t>大嘴分身普攻+8</t>
  </si>
  <si>
    <t>大嘴分身普攻+9</t>
  </si>
  <si>
    <t>大嘴分身普攻+10</t>
  </si>
  <si>
    <t>钢刀普攻+1</t>
    <phoneticPr fontId="10" type="noConversion"/>
  </si>
  <si>
    <t>钢刀普攻+2</t>
  </si>
  <si>
    <t>钢刀普攻+3</t>
  </si>
  <si>
    <t>钢刀普攻+4</t>
  </si>
  <si>
    <t>钢刀普攻+5</t>
  </si>
  <si>
    <t>钢刀普攻+6</t>
  </si>
  <si>
    <t>钢刀普攻+7</t>
  </si>
  <si>
    <t>钢刀普攻+8</t>
  </si>
  <si>
    <t>钢刀普攻+9</t>
  </si>
  <si>
    <t>钢刀普攻+10</t>
  </si>
  <si>
    <t>钢刀技能+1</t>
    <phoneticPr fontId="10" type="noConversion"/>
  </si>
  <si>
    <t>钢刀技能+2</t>
  </si>
  <si>
    <t>钢刀技能+3</t>
  </si>
  <si>
    <t>钢刀技能+4</t>
  </si>
  <si>
    <t>钢刀技能+5</t>
  </si>
  <si>
    <t>钢刀技能+6</t>
  </si>
  <si>
    <t>钢刀技能+7</t>
  </si>
  <si>
    <t>钢刀技能+8</t>
  </si>
  <si>
    <t>钢刀技能+9</t>
  </si>
  <si>
    <t>钢刀技能+10</t>
  </si>
  <si>
    <t>小恩自动加血+2</t>
  </si>
  <si>
    <t>小恩自动加血+3</t>
  </si>
  <si>
    <t>小恩自动加血+4</t>
  </si>
  <si>
    <t>小恩自动加血+5</t>
  </si>
  <si>
    <t>小恩自动加血+6</t>
  </si>
  <si>
    <t>小恩自动加血+7</t>
  </si>
  <si>
    <t>小恩自动加血+8</t>
  </si>
  <si>
    <t>小恩自动加血+9</t>
  </si>
  <si>
    <t>小恩自动加血+10</t>
  </si>
  <si>
    <t>古尔丹种子召唤+1</t>
    <phoneticPr fontId="10" type="noConversion"/>
  </si>
  <si>
    <t>古尔丹种子召唤+2</t>
  </si>
  <si>
    <t>古尔丹种子召唤+3</t>
  </si>
  <si>
    <t>古尔丹种子召唤+4</t>
  </si>
  <si>
    <t>古尔丹种子召唤+5</t>
  </si>
  <si>
    <t>古尔丹种子召唤+6</t>
  </si>
  <si>
    <t>古尔丹种子召唤+7</t>
  </si>
  <si>
    <t>古尔丹种子召唤+8</t>
  </si>
  <si>
    <t>古尔丹种子召唤+9</t>
  </si>
  <si>
    <t>古尔丹种子召唤+10</t>
  </si>
  <si>
    <t>古尔丹普攻+2</t>
  </si>
  <si>
    <t>古尔丹普攻+3</t>
  </si>
  <si>
    <t>古尔丹普攻+4</t>
  </si>
  <si>
    <t>古尔丹普攻+5</t>
  </si>
  <si>
    <t>古尔丹普攻+6</t>
  </si>
  <si>
    <t>古尔丹普攻+7</t>
  </si>
  <si>
    <t>古尔丹普攻+8</t>
  </si>
  <si>
    <t>古尔丹普攻+9</t>
  </si>
  <si>
    <t>古尔丹普攻+10</t>
  </si>
  <si>
    <t>古尔丹诅咒+1</t>
    <phoneticPr fontId="10" type="noConversion"/>
  </si>
  <si>
    <t>古尔丹诅咒+2</t>
  </si>
  <si>
    <t>古尔丹诅咒+3</t>
  </si>
  <si>
    <t>古尔丹诅咒+4</t>
  </si>
  <si>
    <t>古尔丹诅咒+5</t>
  </si>
  <si>
    <t>古尔丹诅咒+6</t>
  </si>
  <si>
    <t>古尔丹诅咒+7</t>
  </si>
  <si>
    <t>古尔丹诅咒+8</t>
  </si>
  <si>
    <t>古尔丹诅咒+9</t>
  </si>
  <si>
    <t>古尔丹诅咒+10</t>
  </si>
  <si>
    <t>守护泰坦普攻+2</t>
  </si>
  <si>
    <t>守护泰坦普攻+3</t>
  </si>
  <si>
    <t>守护泰坦普攻+4</t>
  </si>
  <si>
    <t>守护泰坦普攻+5</t>
  </si>
  <si>
    <t>守护泰坦普攻+6</t>
  </si>
  <si>
    <t>守护泰坦普攻+7</t>
  </si>
  <si>
    <t>守护泰坦普攻+8</t>
  </si>
  <si>
    <t>守护泰坦普攻+9</t>
  </si>
  <si>
    <t>守护泰坦普攻+10</t>
  </si>
  <si>
    <t>邪恶守卫普攻+2</t>
  </si>
  <si>
    <t>邪恶守卫普攻+3</t>
  </si>
  <si>
    <t>邪恶守卫普攻+4</t>
  </si>
  <si>
    <t>邪恶守卫普攻+5</t>
  </si>
  <si>
    <t>邪恶守卫普攻+6</t>
  </si>
  <si>
    <t>邪恶守卫普攻+7</t>
  </si>
  <si>
    <t>邪恶守卫普攻+8</t>
  </si>
  <si>
    <t>邪恶守卫普攻+9</t>
  </si>
  <si>
    <t>邪恶守卫普攻+10</t>
  </si>
  <si>
    <t>泰兰普攻+2</t>
  </si>
  <si>
    <t>泰兰普攻+3</t>
  </si>
  <si>
    <t>泰兰普攻+4</t>
  </si>
  <si>
    <t>泰兰普攻+5</t>
  </si>
  <si>
    <t>泰兰普攻+6</t>
  </si>
  <si>
    <t>泰兰普攻+7</t>
  </si>
  <si>
    <t>泰兰普攻+8</t>
  </si>
  <si>
    <t>泰兰普攻+9</t>
  </si>
  <si>
    <t>泰兰普攻+10</t>
  </si>
  <si>
    <t>喵夫人普攻+2</t>
  </si>
  <si>
    <t>喵夫人普攻+3</t>
  </si>
  <si>
    <t>喵夫人普攻+4</t>
  </si>
  <si>
    <t>喵夫人普攻+5</t>
  </si>
  <si>
    <t>喵夫人普攻+6</t>
  </si>
  <si>
    <t>喵夫人普攻+7</t>
  </si>
  <si>
    <t>喵夫人普攻+8</t>
  </si>
  <si>
    <t>喵夫人普攻+9</t>
  </si>
  <si>
    <t>喵夫人普攻+10</t>
  </si>
  <si>
    <t>喵夫人召唤+2</t>
  </si>
  <si>
    <t>喵夫人召唤+3</t>
  </si>
  <si>
    <t>喵夫人召唤+4</t>
  </si>
  <si>
    <t>喵夫人召唤+5</t>
  </si>
  <si>
    <t>喵夫人召唤+6</t>
  </si>
  <si>
    <t>喵夫人召唤+7</t>
  </si>
  <si>
    <t>喵夫人召唤+8</t>
  </si>
  <si>
    <t>喵夫人召唤+9</t>
  </si>
  <si>
    <t>喵夫人召唤+10</t>
  </si>
  <si>
    <t>喵卫士普攻+2</t>
  </si>
  <si>
    <t>喵卫士普攻+3</t>
  </si>
  <si>
    <t>喵卫士普攻+4</t>
  </si>
  <si>
    <t>喵卫士普攻+5</t>
  </si>
  <si>
    <t>喵卫士普攻+6</t>
  </si>
  <si>
    <t>喵卫士普攻+7</t>
  </si>
  <si>
    <t>喵卫士普攻+8</t>
  </si>
  <si>
    <t>喵卫士普攻+9</t>
  </si>
  <si>
    <t>喵卫士普攻+10</t>
  </si>
  <si>
    <t>粉红女巫普攻+2</t>
  </si>
  <si>
    <t>粉红女巫普攻+3</t>
  </si>
  <si>
    <t>粉红女巫普攻+4</t>
  </si>
  <si>
    <t>粉红女巫普攻+5</t>
  </si>
  <si>
    <t>粉红女巫普攻+6</t>
  </si>
  <si>
    <t>粉红女巫普攻+7</t>
  </si>
  <si>
    <t>粉红女巫普攻+8</t>
  </si>
  <si>
    <t>粉红女巫普攻+9</t>
  </si>
  <si>
    <t>粉红女巫普攻+10</t>
  </si>
  <si>
    <t>小鹿普攻+2</t>
  </si>
  <si>
    <t>小鹿普攻+3</t>
  </si>
  <si>
    <t>小鹿普攻+4</t>
  </si>
  <si>
    <t>小鹿普攻+5</t>
  </si>
  <si>
    <t>小鹿普攻+6</t>
  </si>
  <si>
    <t>小鹿普攻+7</t>
  </si>
  <si>
    <t>小鹿普攻+8</t>
  </si>
  <si>
    <t>小鹿普攻+9</t>
  </si>
  <si>
    <t>小鹿普攻+10</t>
  </si>
  <si>
    <t>小鹿毒箭+2</t>
  </si>
  <si>
    <t>小鹿毒箭+3</t>
  </si>
  <si>
    <t>小鹿毒箭+4</t>
  </si>
  <si>
    <t>小鹿毒箭+5</t>
  </si>
  <si>
    <t>小鹿毒箭+6</t>
  </si>
  <si>
    <t>小鹿毒箭+7</t>
  </si>
  <si>
    <t>小鹿毒箭+8</t>
  </si>
  <si>
    <t>小鹿毒箭+9</t>
  </si>
  <si>
    <t>小鹿毒箭+10</t>
  </si>
  <si>
    <t>小鹿回春+2</t>
  </si>
  <si>
    <t>小鹿回春+3</t>
  </si>
  <si>
    <t>小鹿回春+4</t>
  </si>
  <si>
    <t>小鹿回春+5</t>
  </si>
  <si>
    <t>小鹿回春+6</t>
  </si>
  <si>
    <t>小鹿回春+7</t>
  </si>
  <si>
    <t>小鹿回春+8</t>
  </si>
  <si>
    <t>小鹿回春+9</t>
  </si>
  <si>
    <t>小鹿回春+10</t>
  </si>
  <si>
    <t>投棘者普攻+2</t>
  </si>
  <si>
    <t>投棘者普攻+3</t>
  </si>
  <si>
    <t>投棘者普攻+4</t>
  </si>
  <si>
    <t>投棘者普攻+5</t>
  </si>
  <si>
    <t>投棘者普攻+6</t>
  </si>
  <si>
    <t>投棘者普攻+7</t>
  </si>
  <si>
    <t>投棘者普攻+8</t>
  </si>
  <si>
    <t>投棘者普攻+9</t>
  </si>
  <si>
    <t>投棘者普攻+10</t>
  </si>
  <si>
    <t>投棘者死亡定身+2</t>
  </si>
  <si>
    <t>投棘者死亡定身+3</t>
  </si>
  <si>
    <t>投棘者死亡定身+4</t>
  </si>
  <si>
    <t>投棘者死亡定身+5</t>
  </si>
  <si>
    <t>投棘者死亡定身+6</t>
  </si>
  <si>
    <t>投棘者死亡定身+7</t>
  </si>
  <si>
    <t>投棘者死亡定身+8</t>
  </si>
  <si>
    <t>投棘者死亡定身+9</t>
  </si>
  <si>
    <t>投棘者死亡定身+10</t>
  </si>
  <si>
    <t>红宝石法师普攻+2</t>
  </si>
  <si>
    <t>红宝石法师普攻+3</t>
  </si>
  <si>
    <t>红宝石法师普攻+4</t>
  </si>
  <si>
    <t>红宝石法师普攻+5</t>
  </si>
  <si>
    <t>红宝石法师普攻+6</t>
  </si>
  <si>
    <t>红宝石法师普攻+7</t>
  </si>
  <si>
    <t>红宝石法师普攻+8</t>
  </si>
  <si>
    <t>红宝石法师普攻+9</t>
  </si>
  <si>
    <t>红宝石法师普攻+10</t>
  </si>
  <si>
    <t>蓝电法师普攻+2</t>
  </si>
  <si>
    <t>蓝电法师普攻+3</t>
  </si>
  <si>
    <t>蓝电法师普攻+4</t>
  </si>
  <si>
    <t>蓝电法师普攻+5</t>
  </si>
  <si>
    <t>蓝电法师普攻+6</t>
  </si>
  <si>
    <t>蓝电法师普攻+7</t>
  </si>
  <si>
    <t>蓝电法师普攻+8</t>
  </si>
  <si>
    <t>蓝电法师普攻+9</t>
  </si>
  <si>
    <t>蓝电法师普攻+10</t>
  </si>
  <si>
    <t>空投者死亡爆炸+2</t>
  </si>
  <si>
    <t>空投者死亡爆炸+3</t>
  </si>
  <si>
    <t>空投者死亡爆炸+4</t>
  </si>
  <si>
    <t>空投者死亡爆炸+5</t>
  </si>
  <si>
    <t>空投者死亡爆炸+6</t>
  </si>
  <si>
    <t>空投者死亡爆炸+7</t>
  </si>
  <si>
    <t>空投者死亡爆炸+8</t>
  </si>
  <si>
    <t>空投者死亡爆炸+9</t>
  </si>
  <si>
    <t>空投者死亡爆炸+10</t>
  </si>
  <si>
    <t>黑岩速射+2</t>
  </si>
  <si>
    <t>黑岩速射+3</t>
  </si>
  <si>
    <t>黑岩速射+4</t>
  </si>
  <si>
    <t>黑岩速射+5</t>
  </si>
  <si>
    <t>黑岩速射+6</t>
  </si>
  <si>
    <t>黑岩速射+7</t>
  </si>
  <si>
    <t>黑岩速射+8</t>
  </si>
  <si>
    <t>黑岩速射+9</t>
  </si>
  <si>
    <t>黑岩速射+10</t>
  </si>
  <si>
    <t>嘣普攻+2</t>
  </si>
  <si>
    <t>嘣普攻+3</t>
  </si>
  <si>
    <t>嘣普攻+4</t>
  </si>
  <si>
    <t>嘣普攻+5</t>
  </si>
  <si>
    <t>嘣普攻+6</t>
  </si>
  <si>
    <t>嘣普攻+7</t>
  </si>
  <si>
    <t>嘣普攻+8</t>
  </si>
  <si>
    <t>嘣普攻+9</t>
  </si>
  <si>
    <t>嘣普攻+10</t>
  </si>
  <si>
    <t>嘣技能+2</t>
  </si>
  <si>
    <t>嘣技能+3</t>
  </si>
  <si>
    <t>嘣技能+4</t>
  </si>
  <si>
    <t>嘣技能+5</t>
  </si>
  <si>
    <t>嘣技能+6</t>
  </si>
  <si>
    <t>嘣技能+7</t>
  </si>
  <si>
    <t>嘣技能+8</t>
  </si>
  <si>
    <t>嘣技能+9</t>
  </si>
  <si>
    <t>嘣技能+10</t>
  </si>
  <si>
    <t>火焰领主普攻+2</t>
  </si>
  <si>
    <t>火焰领主普攻+3</t>
  </si>
  <si>
    <t>火焰领主普攻+4</t>
  </si>
  <si>
    <t>火焰领主普攻+5</t>
  </si>
  <si>
    <t>火焰领主普攻+6</t>
  </si>
  <si>
    <t>火焰领主普攻+7</t>
  </si>
  <si>
    <t>火焰领主普攻+8</t>
  </si>
  <si>
    <t>火焰领主普攻+9</t>
  </si>
  <si>
    <t>火焰领主普攻+10</t>
  </si>
  <si>
    <t>火焰领主自动喷火+2</t>
  </si>
  <si>
    <t>火焰领主自动喷火+3</t>
  </si>
  <si>
    <t>火焰领主自动喷火+4</t>
  </si>
  <si>
    <t>火焰领主自动喷火+5</t>
  </si>
  <si>
    <t>火焰领主自动喷火+6</t>
  </si>
  <si>
    <t>火焰领主自动喷火+7</t>
  </si>
  <si>
    <t>火焰领主自动喷火+8</t>
  </si>
  <si>
    <t>火焰领主自动喷火+9</t>
  </si>
  <si>
    <t>火焰领主自动喷火+10</t>
  </si>
  <si>
    <t>左护法普攻+2</t>
  </si>
  <si>
    <t>左护法普攻+3</t>
  </si>
  <si>
    <t>左护法普攻+4</t>
  </si>
  <si>
    <t>左护法普攻+5</t>
  </si>
  <si>
    <t>左护法普攻+6</t>
  </si>
  <si>
    <t>左护法普攻+7</t>
  </si>
  <si>
    <t>左护法普攻+8</t>
  </si>
  <si>
    <t>左护法普攻+9</t>
  </si>
  <si>
    <t>左护法普攻+10</t>
  </si>
  <si>
    <t>右护法普攻+2</t>
  </si>
  <si>
    <t>右护法普攻+3</t>
  </si>
  <si>
    <t>右护法普攻+4</t>
  </si>
  <si>
    <t>右护法普攻+5</t>
  </si>
  <si>
    <t>右护法普攻+6</t>
  </si>
  <si>
    <t>右护法普攻+7</t>
  </si>
  <si>
    <t>右护法普攻+8</t>
  </si>
  <si>
    <t>右护法普攻+9</t>
  </si>
  <si>
    <t>右护法普攻+10</t>
  </si>
  <si>
    <t>喵夫人普攻-招喵+2</t>
  </si>
  <si>
    <t>喵夫人普攻-招喵+3</t>
  </si>
  <si>
    <t>喵夫人普攻-招喵+4</t>
  </si>
  <si>
    <t>喵夫人普攻-招喵+5</t>
  </si>
  <si>
    <t>喵夫人普攻-招喵+6</t>
  </si>
  <si>
    <t>喵夫人普攻-招喵+7</t>
  </si>
  <si>
    <t>喵夫人普攻-招喵+8</t>
  </si>
  <si>
    <t>喵夫人普攻-招喵+9</t>
  </si>
  <si>
    <t>喵夫人普攻-招喵+10</t>
  </si>
  <si>
    <t>子技能-喵夫人召唤+2</t>
  </si>
  <si>
    <t>子技能-喵夫人召唤+3</t>
  </si>
  <si>
    <t>子技能-喵夫人召唤+4</t>
  </si>
  <si>
    <t>子技能-喵夫人召唤+5</t>
  </si>
  <si>
    <t>子技能-喵夫人召唤+6</t>
  </si>
  <si>
    <t>子技能-喵夫人召唤+7</t>
  </si>
  <si>
    <t>子技能-喵夫人召唤+8</t>
  </si>
  <si>
    <t>子技能-喵夫人召唤+9</t>
  </si>
  <si>
    <t>子技能-喵夫人召唤+10</t>
  </si>
  <si>
    <t>武士亡魂普攻+2</t>
  </si>
  <si>
    <t>武士亡魂普攻+3</t>
  </si>
  <si>
    <t>武士亡魂普攻+4</t>
  </si>
  <si>
    <t>武士亡魂普攻+5</t>
  </si>
  <si>
    <t>武士亡魂普攻+6</t>
  </si>
  <si>
    <t>武士亡魂普攻+7</t>
  </si>
  <si>
    <t>武士亡魂普攻+8</t>
  </si>
  <si>
    <t>武士亡魂普攻+9</t>
  </si>
  <si>
    <t>武士亡魂普攻+10</t>
  </si>
  <si>
    <t>火焰领主1分裂普攻+2</t>
  </si>
  <si>
    <t>火焰领主1分裂普攻+3</t>
  </si>
  <si>
    <t>火焰领主1分裂普攻+4</t>
  </si>
  <si>
    <t>火焰领主1分裂普攻+5</t>
  </si>
  <si>
    <t>火焰领主1分裂普攻+6</t>
  </si>
  <si>
    <t>火焰领主1分裂普攻+7</t>
  </si>
  <si>
    <t>火焰领主1分裂普攻+8</t>
  </si>
  <si>
    <t>火焰领主1分裂普攻+9</t>
  </si>
  <si>
    <t>火焰领主1分裂普攻+10</t>
  </si>
  <si>
    <t>火焰领主2分裂普攻+2</t>
  </si>
  <si>
    <t>火焰领主2分裂普攻+3</t>
  </si>
  <si>
    <t>火焰领主2分裂普攻+4</t>
  </si>
  <si>
    <t>火焰领主2分裂普攻+5</t>
  </si>
  <si>
    <t>火焰领主2分裂普攻+6</t>
  </si>
  <si>
    <t>火焰领主2分裂普攻+7</t>
  </si>
  <si>
    <t>火焰领主2分裂普攻+8</t>
  </si>
  <si>
    <t>火焰领主2分裂普攻+9</t>
  </si>
  <si>
    <t>火焰领主2分裂普攻+10</t>
  </si>
  <si>
    <t>火焰领主1次分裂+2</t>
  </si>
  <si>
    <t>火焰领主1次分裂+3</t>
  </si>
  <si>
    <t>火焰领主1次分裂+4</t>
  </si>
  <si>
    <t>火焰领主1次分裂+5</t>
  </si>
  <si>
    <t>火焰领主1次分裂+6</t>
  </si>
  <si>
    <t>火焰领主1次分裂+7</t>
  </si>
  <si>
    <t>火焰领主1次分裂+8</t>
  </si>
  <si>
    <t>火焰领主1次分裂+9</t>
  </si>
  <si>
    <t>火焰领主1次分裂+10</t>
  </si>
  <si>
    <t>火焰领主2次分裂+2</t>
  </si>
  <si>
    <t>火焰领主2次分裂+3</t>
  </si>
  <si>
    <t>火焰领主2次分裂+4</t>
  </si>
  <si>
    <t>火焰领主2次分裂+5</t>
  </si>
  <si>
    <t>火焰领主2次分裂+6</t>
  </si>
  <si>
    <t>火焰领主2次分裂+7</t>
  </si>
  <si>
    <t>火焰领主2次分裂+8</t>
  </si>
  <si>
    <t>火焰领主2次分裂+9</t>
  </si>
  <si>
    <t>火焰领主2次分裂+10</t>
  </si>
  <si>
    <t>牛头嘲讽子技能减速+2</t>
  </si>
  <si>
    <t>牛头嘲讽子技能减速+3</t>
  </si>
  <si>
    <t>牛头嘲讽子技能减速+4</t>
  </si>
  <si>
    <t>牛头嘲讽子技能减速+5</t>
  </si>
  <si>
    <t>牛头嘲讽子技能减速+6</t>
  </si>
  <si>
    <t>牛头嘲讽子技能减速+7</t>
  </si>
  <si>
    <t>牛头嘲讽子技能减速+8</t>
  </si>
  <si>
    <t>牛头嘲讽子技能减速+9</t>
  </si>
  <si>
    <t>牛头嘲讽子技能减速+10</t>
  </si>
  <si>
    <t>魅魔普攻+2</t>
  </si>
  <si>
    <t>魅魔普攻+3</t>
  </si>
  <si>
    <t>魅魔普攻+4</t>
  </si>
  <si>
    <t>魅魔普攻+5</t>
  </si>
  <si>
    <t>魅魔普攻+6</t>
  </si>
  <si>
    <t>魅魔普攻+7</t>
  </si>
  <si>
    <t>魅魔普攻+8</t>
  </si>
  <si>
    <t>魅魔普攻+9</t>
  </si>
  <si>
    <t>魅魔普攻+10</t>
  </si>
  <si>
    <t>死神普攻+2</t>
  </si>
  <si>
    <t>死神普攻+3</t>
  </si>
  <si>
    <t>死神普攻+4</t>
  </si>
  <si>
    <t>死神普攻+5</t>
  </si>
  <si>
    <t>死神普攻+6</t>
  </si>
  <si>
    <t>死神普攻+7</t>
  </si>
  <si>
    <t>死神普攻+8</t>
  </si>
  <si>
    <t>死神普攻+9</t>
  </si>
  <si>
    <t>死神普攻+10</t>
  </si>
  <si>
    <t>祖母普攻</t>
    <phoneticPr fontId="10" type="noConversion"/>
  </si>
  <si>
    <t>祖母普攻+1</t>
    <phoneticPr fontId="10" type="noConversion"/>
  </si>
  <si>
    <t>祖母普攻+2</t>
  </si>
  <si>
    <t>祖母普攻+3</t>
  </si>
  <si>
    <t>祖母普攻+4</t>
  </si>
  <si>
    <t>祖母普攻+5</t>
  </si>
  <si>
    <t>祖母普攻+6</t>
  </si>
  <si>
    <t>祖母普攻+7</t>
  </si>
  <si>
    <t>祖母普攻+8</t>
  </si>
  <si>
    <t>祖母普攻+9</t>
  </si>
  <si>
    <t>祖母普攻+10</t>
  </si>
  <si>
    <t>祖母技能+2</t>
  </si>
  <si>
    <t>祖母技能+3</t>
  </si>
  <si>
    <t>祖母技能+4</t>
  </si>
  <si>
    <t>祖母技能+5</t>
  </si>
  <si>
    <t>祖母技能+6</t>
  </si>
  <si>
    <t>祖母技能+7</t>
  </si>
  <si>
    <t>祖母技能+8</t>
  </si>
  <si>
    <t>祖母技能+9</t>
  </si>
  <si>
    <t>祖母技能+10</t>
  </si>
  <si>
    <t>右护法</t>
    <phoneticPr fontId="5" type="noConversion"/>
  </si>
  <si>
    <t>左护法</t>
    <phoneticPr fontId="5" type="noConversion"/>
  </si>
  <si>
    <t>额外进阶</t>
    <phoneticPr fontId="5" type="noConversion"/>
  </si>
  <si>
    <t>皇塔数值</t>
    <phoneticPr fontId="5" type="noConversion"/>
  </si>
  <si>
    <t>CD</t>
    <phoneticPr fontId="5" type="noConversion"/>
  </si>
  <si>
    <t>显示耗费</t>
    <phoneticPr fontId="5" type="noConversion"/>
  </si>
  <si>
    <t>精良</t>
    <phoneticPr fontId="5" type="noConversion"/>
  </si>
  <si>
    <t>品质ID</t>
    <phoneticPr fontId="5" type="noConversion"/>
  </si>
  <si>
    <t>卡亚</t>
    <phoneticPr fontId="5" type="noConversion"/>
  </si>
  <si>
    <t>钢刀</t>
    <phoneticPr fontId="5" type="noConversion"/>
  </si>
  <si>
    <t>攻击范围</t>
    <phoneticPr fontId="5" type="noConversion"/>
  </si>
  <si>
    <t>射手</t>
  </si>
  <si>
    <t>射手</t>
    <phoneticPr fontId="5" type="noConversion"/>
  </si>
  <si>
    <t>攻击距离</t>
    <phoneticPr fontId="5" type="noConversion"/>
  </si>
  <si>
    <t>近身伤血</t>
    <phoneticPr fontId="5" type="noConversion"/>
  </si>
  <si>
    <t>游侠V近战</t>
    <phoneticPr fontId="5" type="noConversion"/>
  </si>
  <si>
    <t>射手V近战</t>
    <phoneticPr fontId="5" type="noConversion"/>
  </si>
  <si>
    <t>巫师V近战</t>
    <phoneticPr fontId="5" type="noConversion"/>
  </si>
  <si>
    <t>近身剩血</t>
    <phoneticPr fontId="5" type="noConversion"/>
  </si>
  <si>
    <t>近战血量</t>
    <phoneticPr fontId="5" type="noConversion"/>
  </si>
  <si>
    <t>TV游侠</t>
    <phoneticPr fontId="5" type="noConversion"/>
  </si>
  <si>
    <t>TV射手</t>
    <phoneticPr fontId="5" type="noConversion"/>
  </si>
  <si>
    <t>TV巫师</t>
    <phoneticPr fontId="5" type="noConversion"/>
  </si>
  <si>
    <t>战士V游侠</t>
    <phoneticPr fontId="5" type="noConversion"/>
  </si>
  <si>
    <t>战士V射手</t>
    <phoneticPr fontId="5" type="noConversion"/>
  </si>
  <si>
    <t>战士V巫师</t>
    <phoneticPr fontId="5" type="noConversion"/>
  </si>
  <si>
    <t>刺客V游侠</t>
    <phoneticPr fontId="5" type="noConversion"/>
  </si>
  <si>
    <t>刺客V射手</t>
    <phoneticPr fontId="5" type="noConversion"/>
  </si>
  <si>
    <t>刺客V巫师</t>
    <phoneticPr fontId="5" type="noConversion"/>
  </si>
  <si>
    <t>轰炸机</t>
  </si>
  <si>
    <t>轰炸机</t>
    <phoneticPr fontId="5" type="noConversion"/>
  </si>
  <si>
    <t>(盖亚)护卫塔</t>
    <phoneticPr fontId="5" type="noConversion"/>
  </si>
  <si>
    <t>(泰坦)护卫塔</t>
    <phoneticPr fontId="5" type="noConversion"/>
  </si>
  <si>
    <t>CD</t>
  </si>
  <si>
    <t>喵夫人守卫</t>
    <phoneticPr fontId="5" type="noConversion"/>
  </si>
  <si>
    <t>酒桶</t>
    <phoneticPr fontId="5" type="noConversion"/>
  </si>
  <si>
    <t>牛头酋长</t>
    <phoneticPr fontId="5" type="noConversion"/>
  </si>
  <si>
    <t>泰兰</t>
    <phoneticPr fontId="5" type="noConversion"/>
  </si>
  <si>
    <t>武士亡魂</t>
    <phoneticPr fontId="5" type="noConversion"/>
  </si>
  <si>
    <t>崩</t>
    <phoneticPr fontId="5" type="noConversion"/>
  </si>
  <si>
    <t>单体</t>
    <phoneticPr fontId="5" type="noConversion"/>
  </si>
  <si>
    <t>小范围</t>
    <phoneticPr fontId="5" type="noConversion"/>
  </si>
  <si>
    <t>大范围</t>
    <phoneticPr fontId="5" type="noConversion"/>
  </si>
  <si>
    <t>卡牌ID</t>
    <phoneticPr fontId="10" type="noConversion"/>
  </si>
  <si>
    <t>铠甲熊+1</t>
    <phoneticPr fontId="10" type="noConversion"/>
  </si>
  <si>
    <t>空投者</t>
    <phoneticPr fontId="10" type="noConversion"/>
  </si>
  <si>
    <t>空投者+1</t>
    <phoneticPr fontId="10" type="noConversion"/>
  </si>
  <si>
    <t>狂暴巨人</t>
    <phoneticPr fontId="10" type="noConversion"/>
  </si>
  <si>
    <t>骑士</t>
    <phoneticPr fontId="10" type="noConversion"/>
  </si>
  <si>
    <t>小花+1</t>
    <phoneticPr fontId="10" type="noConversion"/>
  </si>
  <si>
    <t>小树妖</t>
    <phoneticPr fontId="10" type="noConversion"/>
  </si>
  <si>
    <t>小树妖+1</t>
    <phoneticPr fontId="10" type="noConversion"/>
  </si>
  <si>
    <t>英雄-卡亚</t>
    <phoneticPr fontId="10" type="noConversion"/>
  </si>
  <si>
    <t>英雄-卡亚+1</t>
    <phoneticPr fontId="10" type="noConversion"/>
  </si>
  <si>
    <t>英雄-阴阳师</t>
    <phoneticPr fontId="10" type="noConversion"/>
  </si>
  <si>
    <t>樱花武士+1</t>
    <phoneticPr fontId="10" type="noConversion"/>
  </si>
  <si>
    <t>鹰身人+1</t>
    <phoneticPr fontId="10" type="noConversion"/>
  </si>
  <si>
    <t>主角女</t>
    <phoneticPr fontId="10" type="noConversion"/>
  </si>
  <si>
    <t>主角女+1</t>
    <phoneticPr fontId="10" type="noConversion"/>
  </si>
  <si>
    <t>飞矛手</t>
    <phoneticPr fontId="10" type="noConversion"/>
  </si>
  <si>
    <t>小炮手</t>
    <phoneticPr fontId="10" type="noConversion"/>
  </si>
  <si>
    <t>小炮手+1</t>
    <phoneticPr fontId="10" type="noConversion"/>
  </si>
  <si>
    <t>雪人</t>
    <phoneticPr fontId="10" type="noConversion"/>
  </si>
  <si>
    <t>雪人+1</t>
    <phoneticPr fontId="10" type="noConversion"/>
  </si>
  <si>
    <t>英雄-白幽灵</t>
    <phoneticPr fontId="10" type="noConversion"/>
  </si>
  <si>
    <t>英雄-白幽灵+1</t>
    <phoneticPr fontId="10" type="noConversion"/>
  </si>
  <si>
    <t>箭塔-盖亚小花+1</t>
    <phoneticPr fontId="10" type="noConversion"/>
  </si>
  <si>
    <t>箭塔-盖亚小花+2</t>
  </si>
  <si>
    <t>箭塔-盖亚小花+3</t>
  </si>
  <si>
    <t>箭塔-盖亚小花+4</t>
  </si>
  <si>
    <t>箭塔-盖亚小花+5</t>
  </si>
  <si>
    <t>箭塔-盖亚小花+6</t>
  </si>
  <si>
    <t>箭塔-盖亚小花+7</t>
  </si>
  <si>
    <t>箭塔-盖亚小花+8</t>
  </si>
  <si>
    <t>箭塔-盖亚小花+9</t>
  </si>
  <si>
    <t>箭塔-盖亚小花+10</t>
  </si>
  <si>
    <t>箭塔-斧子小人+1</t>
    <phoneticPr fontId="10" type="noConversion"/>
  </si>
  <si>
    <t>箭塔-斧子小人+2</t>
  </si>
  <si>
    <t>箭塔-斧子小人+3</t>
  </si>
  <si>
    <t>箭塔-斧子小人+4</t>
  </si>
  <si>
    <t>箭塔-斧子小人+5</t>
  </si>
  <si>
    <t>箭塔-斧子小人+6</t>
  </si>
  <si>
    <t>箭塔-斧子小人+7</t>
  </si>
  <si>
    <t>箭塔-斧子小人+8</t>
  </si>
  <si>
    <t>箭塔-斧子小人+9</t>
  </si>
  <si>
    <t>箭塔-斧子小人+10</t>
  </si>
  <si>
    <t>暴风步兵</t>
    <phoneticPr fontId="10" type="noConversion"/>
  </si>
  <si>
    <t>投棘者+9</t>
  </si>
  <si>
    <t>英雄-阴阳师+1</t>
    <phoneticPr fontId="10" type="noConversion"/>
  </si>
  <si>
    <t>策划备注</t>
    <phoneticPr fontId="10" type="noConversion"/>
  </si>
  <si>
    <t>基本id</t>
    <phoneticPr fontId="10" type="noConversion"/>
  </si>
  <si>
    <t>星阶</t>
    <phoneticPr fontId="10" type="noConversion"/>
  </si>
  <si>
    <t>暴风步兵+1</t>
    <phoneticPr fontId="10" type="noConversion"/>
  </si>
  <si>
    <t>大嘴分身</t>
    <phoneticPr fontId="10" type="noConversion"/>
  </si>
  <si>
    <t>大嘴分身+1</t>
    <phoneticPr fontId="10" type="noConversion"/>
  </si>
  <si>
    <t>大嘴巨人</t>
    <phoneticPr fontId="10" type="noConversion"/>
  </si>
  <si>
    <t>大嘴巨人+1</t>
    <phoneticPr fontId="10" type="noConversion"/>
  </si>
  <si>
    <t>飞矛手+1</t>
    <phoneticPr fontId="10" type="noConversion"/>
  </si>
  <si>
    <t>粉红女巫+1</t>
    <phoneticPr fontId="10" type="noConversion"/>
  </si>
  <si>
    <t>泰坦飞斧</t>
    <phoneticPr fontId="10" type="noConversion"/>
  </si>
  <si>
    <t>泰坦飞斧+1</t>
    <phoneticPr fontId="10" type="noConversion"/>
  </si>
  <si>
    <t>泰坦飞斧+2</t>
    <phoneticPr fontId="10" type="noConversion"/>
  </si>
  <si>
    <t>泰坦飞斧+3</t>
    <phoneticPr fontId="10" type="noConversion"/>
  </si>
  <si>
    <t>泰坦飞斧+4</t>
    <phoneticPr fontId="10" type="noConversion"/>
  </si>
  <si>
    <t>泰坦飞斧+5</t>
    <phoneticPr fontId="10" type="noConversion"/>
  </si>
  <si>
    <t>泰坦飞斧+6</t>
    <phoneticPr fontId="10" type="noConversion"/>
  </si>
  <si>
    <t>泰坦飞斧+7</t>
    <phoneticPr fontId="10" type="noConversion"/>
  </si>
  <si>
    <t>泰坦飞斧+8</t>
    <phoneticPr fontId="10" type="noConversion"/>
  </si>
  <si>
    <t>泰坦飞斧+9</t>
    <phoneticPr fontId="10" type="noConversion"/>
  </si>
  <si>
    <t>泰坦飞斧+10</t>
    <phoneticPr fontId="10" type="noConversion"/>
  </si>
  <si>
    <t>钢刀</t>
    <phoneticPr fontId="10" type="noConversion"/>
  </si>
  <si>
    <t>钢刀+1</t>
    <phoneticPr fontId="10" type="noConversion"/>
  </si>
  <si>
    <t>黑岩</t>
    <phoneticPr fontId="10" type="noConversion"/>
  </si>
  <si>
    <t>黑岩+1</t>
    <phoneticPr fontId="10" type="noConversion"/>
  </si>
  <si>
    <t>红宝石法师</t>
    <phoneticPr fontId="10" type="noConversion"/>
  </si>
  <si>
    <t>红宝石法师+1</t>
    <phoneticPr fontId="10" type="noConversion"/>
  </si>
  <si>
    <t>火焰领主1分裂</t>
    <phoneticPr fontId="10" type="noConversion"/>
  </si>
  <si>
    <t>火焰领主1分裂+1</t>
    <phoneticPr fontId="10" type="noConversion"/>
  </si>
  <si>
    <t>火焰领主2分裂</t>
    <phoneticPr fontId="10" type="noConversion"/>
  </si>
  <si>
    <t>火焰领主2分裂+1</t>
    <phoneticPr fontId="10" type="noConversion"/>
  </si>
  <si>
    <t>酒桶泰坦</t>
    <phoneticPr fontId="10" type="noConversion"/>
  </si>
  <si>
    <t>酒桶泰坦+1</t>
    <phoneticPr fontId="10" type="noConversion"/>
  </si>
  <si>
    <t>酒桶泰坦+2</t>
    <phoneticPr fontId="10" type="noConversion"/>
  </si>
  <si>
    <t>铠甲熊</t>
    <phoneticPr fontId="10" type="noConversion"/>
  </si>
  <si>
    <t>狂暴巨人+1</t>
    <phoneticPr fontId="10" type="noConversion"/>
  </si>
  <si>
    <t>蓝电法师+1</t>
    <phoneticPr fontId="10" type="noConversion"/>
  </si>
  <si>
    <t>力士</t>
    <phoneticPr fontId="10" type="noConversion"/>
  </si>
  <si>
    <t>魅魔</t>
    <phoneticPr fontId="10" type="noConversion"/>
  </si>
  <si>
    <t>魅魔+1</t>
    <phoneticPr fontId="10" type="noConversion"/>
  </si>
  <si>
    <t>喵夫人-卫士</t>
    <phoneticPr fontId="10" type="noConversion"/>
  </si>
  <si>
    <t>喵夫人-卫士+1</t>
    <phoneticPr fontId="10" type="noConversion"/>
  </si>
  <si>
    <t>骑士+1</t>
    <phoneticPr fontId="10" type="noConversion"/>
  </si>
  <si>
    <t>骑士+10</t>
    <phoneticPr fontId="10" type="noConversion"/>
  </si>
  <si>
    <t>忍者</t>
    <phoneticPr fontId="10" type="noConversion"/>
  </si>
  <si>
    <t>忍者+1</t>
    <phoneticPr fontId="10" type="noConversion"/>
  </si>
  <si>
    <t>忍者分身</t>
    <phoneticPr fontId="10" type="noConversion"/>
  </si>
  <si>
    <t>忍者分身+1</t>
    <phoneticPr fontId="10" type="noConversion"/>
  </si>
  <si>
    <t>术士古尔丹+1</t>
    <phoneticPr fontId="10" type="noConversion"/>
  </si>
  <si>
    <t>斯巴达</t>
    <phoneticPr fontId="10" type="noConversion"/>
  </si>
  <si>
    <t>斯巴达+1</t>
    <phoneticPr fontId="10" type="noConversion"/>
  </si>
  <si>
    <t>死神</t>
    <phoneticPr fontId="10" type="noConversion"/>
  </si>
  <si>
    <t>死神+1</t>
    <phoneticPr fontId="10" type="noConversion"/>
  </si>
  <si>
    <t>泰兰</t>
    <phoneticPr fontId="10" type="noConversion"/>
  </si>
  <si>
    <t>泰兰+1</t>
    <phoneticPr fontId="10" type="noConversion"/>
  </si>
  <si>
    <t>投棘者</t>
    <phoneticPr fontId="10" type="noConversion"/>
  </si>
  <si>
    <t>嘣</t>
    <phoneticPr fontId="10" type="noConversion"/>
  </si>
  <si>
    <t>嘣+1</t>
    <phoneticPr fontId="10" type="noConversion"/>
  </si>
  <si>
    <t>嘣+2</t>
    <phoneticPr fontId="10" type="noConversion"/>
  </si>
  <si>
    <t>嘣+3</t>
    <phoneticPr fontId="10" type="noConversion"/>
  </si>
  <si>
    <t>嘣+4</t>
    <phoneticPr fontId="10" type="noConversion"/>
  </si>
  <si>
    <t>嘣+5</t>
    <phoneticPr fontId="10" type="noConversion"/>
  </si>
  <si>
    <t>嘣+6</t>
    <phoneticPr fontId="10" type="noConversion"/>
  </si>
  <si>
    <t>嘣+7</t>
    <phoneticPr fontId="10" type="noConversion"/>
  </si>
  <si>
    <t>嘣+8</t>
    <phoneticPr fontId="10" type="noConversion"/>
  </si>
  <si>
    <t>嘣+9</t>
    <phoneticPr fontId="10" type="noConversion"/>
  </si>
  <si>
    <t>嘣+10</t>
    <phoneticPr fontId="10" type="noConversion"/>
  </si>
  <si>
    <t>小花</t>
    <phoneticPr fontId="10" type="noConversion"/>
  </si>
  <si>
    <t>小鹿</t>
    <phoneticPr fontId="10" type="noConversion"/>
  </si>
  <si>
    <t>英雄-zero</t>
    <phoneticPr fontId="10" type="noConversion"/>
  </si>
  <si>
    <t>英雄-zero+1</t>
    <phoneticPr fontId="10" type="noConversion"/>
  </si>
  <si>
    <t>英雄-暴风女</t>
    <phoneticPr fontId="10" type="noConversion"/>
  </si>
  <si>
    <t>英雄-暴风女+1</t>
    <phoneticPr fontId="10" type="noConversion"/>
  </si>
  <si>
    <t>英雄-喵夫人</t>
    <phoneticPr fontId="10" type="noConversion"/>
  </si>
  <si>
    <t>英雄-牛头酋长</t>
    <phoneticPr fontId="10" type="noConversion"/>
  </si>
  <si>
    <t>英雄-牛头酋长+1</t>
    <phoneticPr fontId="10" type="noConversion"/>
  </si>
  <si>
    <t>英雄-小恩</t>
    <phoneticPr fontId="10" type="noConversion"/>
  </si>
  <si>
    <t>英雄-小恩+1</t>
    <phoneticPr fontId="10" type="noConversion"/>
  </si>
  <si>
    <t>樱花武士</t>
    <phoneticPr fontId="10" type="noConversion"/>
  </si>
  <si>
    <t>鹰身人</t>
    <phoneticPr fontId="10" type="noConversion"/>
  </si>
  <si>
    <t>右护法</t>
    <phoneticPr fontId="10" type="noConversion"/>
  </si>
  <si>
    <t>右护法+1</t>
    <phoneticPr fontId="10" type="noConversion"/>
  </si>
  <si>
    <t>主角男</t>
    <phoneticPr fontId="10" type="noConversion"/>
  </si>
  <si>
    <t>主角男+1</t>
    <phoneticPr fontId="10" type="noConversion"/>
  </si>
  <si>
    <t>主角男+2</t>
    <phoneticPr fontId="10" type="noConversion"/>
  </si>
  <si>
    <t>主角女+2</t>
    <phoneticPr fontId="10" type="noConversion"/>
  </si>
  <si>
    <t>祖母</t>
    <phoneticPr fontId="10" type="noConversion"/>
  </si>
  <si>
    <t>祖母+1</t>
    <phoneticPr fontId="10" type="noConversion"/>
  </si>
  <si>
    <t>左护法</t>
    <phoneticPr fontId="10" type="noConversion"/>
  </si>
  <si>
    <t>左护法+1</t>
    <phoneticPr fontId="10" type="noConversion"/>
  </si>
  <si>
    <t>箭塔-盖亚小花</t>
    <phoneticPr fontId="10" type="noConversion"/>
  </si>
  <si>
    <t>箭塔-斧子小人</t>
    <phoneticPr fontId="10" type="noConversion"/>
  </si>
  <si>
    <t>技能ID</t>
    <phoneticPr fontId="10" type="noConversion"/>
  </si>
  <si>
    <t>技能CD</t>
    <phoneticPr fontId="10" type="noConversion"/>
  </si>
  <si>
    <t>卡亚技能</t>
    <phoneticPr fontId="10" type="noConversion"/>
  </si>
  <si>
    <t>卡亚技能+1</t>
    <phoneticPr fontId="10" type="noConversion"/>
  </si>
  <si>
    <t>召唤武士亡魂</t>
    <phoneticPr fontId="10" type="noConversion"/>
  </si>
  <si>
    <t>召唤武士亡魂+1</t>
    <phoneticPr fontId="10" type="noConversion"/>
  </si>
  <si>
    <t>零法术灼烧</t>
    <phoneticPr fontId="10" type="noConversion"/>
  </si>
  <si>
    <t>零法术灼烧+1</t>
    <phoneticPr fontId="10" type="noConversion"/>
  </si>
  <si>
    <t>狂暴巨人普攻</t>
    <phoneticPr fontId="10" type="noConversion"/>
  </si>
  <si>
    <t>黑岩技能</t>
    <phoneticPr fontId="10" type="noConversion"/>
  </si>
  <si>
    <t>黑岩技能+1</t>
    <phoneticPr fontId="10" type="noConversion"/>
  </si>
  <si>
    <t>大嘴巨人普攻</t>
    <phoneticPr fontId="10" type="noConversion"/>
  </si>
  <si>
    <t>大嘴巨人普攻+1</t>
    <phoneticPr fontId="10" type="noConversion"/>
  </si>
  <si>
    <t>大嘴巨人召唤</t>
    <phoneticPr fontId="10" type="noConversion"/>
  </si>
  <si>
    <t>大嘴巨人召唤+1</t>
    <phoneticPr fontId="10" type="noConversion"/>
  </si>
  <si>
    <t>大嘴分身普攻</t>
    <phoneticPr fontId="10" type="noConversion"/>
  </si>
  <si>
    <t>大嘴分身普攻+1</t>
    <phoneticPr fontId="10" type="noConversion"/>
  </si>
  <si>
    <t>钢刀普攻</t>
    <phoneticPr fontId="10" type="noConversion"/>
  </si>
  <si>
    <t>钢刀技能</t>
    <phoneticPr fontId="10" type="noConversion"/>
  </si>
  <si>
    <t>小恩自动加血</t>
    <phoneticPr fontId="10" type="noConversion"/>
  </si>
  <si>
    <t>小恩自动加血+1</t>
    <phoneticPr fontId="10" type="noConversion"/>
  </si>
  <si>
    <t>古尔丹种子召唤</t>
    <phoneticPr fontId="10" type="noConversion"/>
  </si>
  <si>
    <t>古尔丹普攻</t>
    <phoneticPr fontId="10" type="noConversion"/>
  </si>
  <si>
    <t>古尔丹普攻+1</t>
    <phoneticPr fontId="10" type="noConversion"/>
  </si>
  <si>
    <t>古尔丹诅咒</t>
    <phoneticPr fontId="10" type="noConversion"/>
  </si>
  <si>
    <t>守护泰坦普攻</t>
    <phoneticPr fontId="10" type="noConversion"/>
  </si>
  <si>
    <t>守护泰坦普攻+1</t>
    <phoneticPr fontId="10" type="noConversion"/>
  </si>
  <si>
    <t>邪恶守卫普攻</t>
    <phoneticPr fontId="10" type="noConversion"/>
  </si>
  <si>
    <t>邪恶守卫普攻+1</t>
    <phoneticPr fontId="10" type="noConversion"/>
  </si>
  <si>
    <t>泰兰普攻</t>
    <phoneticPr fontId="10" type="noConversion"/>
  </si>
  <si>
    <t>泰兰普攻+1</t>
    <phoneticPr fontId="10" type="noConversion"/>
  </si>
  <si>
    <t>喵夫人普攻</t>
    <phoneticPr fontId="10" type="noConversion"/>
  </si>
  <si>
    <t>喵夫人普攻+1</t>
    <phoneticPr fontId="10" type="noConversion"/>
  </si>
  <si>
    <t>喵夫人召唤</t>
    <phoneticPr fontId="10" type="noConversion"/>
  </si>
  <si>
    <t>喵夫人召唤+1</t>
    <phoneticPr fontId="10" type="noConversion"/>
  </si>
  <si>
    <t>喵卫士普攻</t>
    <phoneticPr fontId="10" type="noConversion"/>
  </si>
  <si>
    <t>喵卫士普攻+1</t>
    <phoneticPr fontId="10" type="noConversion"/>
  </si>
  <si>
    <t>粉红女巫普攻</t>
    <phoneticPr fontId="10" type="noConversion"/>
  </si>
  <si>
    <t>粉红女巫普攻+1</t>
    <phoneticPr fontId="10" type="noConversion"/>
  </si>
  <si>
    <t>小鹿普攻</t>
    <phoneticPr fontId="10" type="noConversion"/>
  </si>
  <si>
    <t>小鹿普攻+1</t>
    <phoneticPr fontId="10" type="noConversion"/>
  </si>
  <si>
    <t>小鹿回春</t>
    <phoneticPr fontId="10" type="noConversion"/>
  </si>
  <si>
    <t>小鹿回春+1</t>
    <phoneticPr fontId="10" type="noConversion"/>
  </si>
  <si>
    <t>投棘者普攻</t>
    <phoneticPr fontId="10" type="noConversion"/>
  </si>
  <si>
    <t>投棘者普攻+1</t>
    <phoneticPr fontId="10" type="noConversion"/>
  </si>
  <si>
    <t>投棘者死亡定身</t>
    <phoneticPr fontId="10" type="noConversion"/>
  </si>
  <si>
    <t>投棘者死亡定身+1</t>
    <phoneticPr fontId="10" type="noConversion"/>
  </si>
  <si>
    <t>红宝石法师普攻</t>
    <phoneticPr fontId="10" type="noConversion"/>
  </si>
  <si>
    <t>红宝石法师普攻+1</t>
    <phoneticPr fontId="10" type="noConversion"/>
  </si>
  <si>
    <t>蓝电法师普攻</t>
    <phoneticPr fontId="10" type="noConversion"/>
  </si>
  <si>
    <t>蓝电法师普攻+1</t>
    <phoneticPr fontId="10" type="noConversion"/>
  </si>
  <si>
    <t>空投者死亡爆炸</t>
    <phoneticPr fontId="10" type="noConversion"/>
  </si>
  <si>
    <t>空投者死亡爆炸+1</t>
    <phoneticPr fontId="10" type="noConversion"/>
  </si>
  <si>
    <t>泰兰召唤亡灵</t>
    <phoneticPr fontId="10" type="noConversion"/>
  </si>
  <si>
    <t>泰兰召唤亡灵+1</t>
    <phoneticPr fontId="10" type="noConversion"/>
  </si>
  <si>
    <t>泰兰召唤亡灵+2</t>
  </si>
  <si>
    <t>泰兰召唤亡灵+3</t>
  </si>
  <si>
    <t>泰兰召唤亡灵+4</t>
  </si>
  <si>
    <t>泰兰召唤亡灵+5</t>
  </si>
  <si>
    <t>泰兰召唤亡灵+6</t>
  </si>
  <si>
    <t>泰兰召唤亡灵+7</t>
  </si>
  <si>
    <t>泰兰召唤亡灵+8</t>
  </si>
  <si>
    <t>泰兰召唤亡灵+9</t>
  </si>
  <si>
    <t>泰兰召唤亡灵+10</t>
  </si>
  <si>
    <t>黑岩速射</t>
    <phoneticPr fontId="10" type="noConversion"/>
  </si>
  <si>
    <t>黑岩速射+1</t>
    <phoneticPr fontId="10" type="noConversion"/>
  </si>
  <si>
    <t>嘣普攻</t>
    <phoneticPr fontId="10" type="noConversion"/>
  </si>
  <si>
    <t>嘣普攻+1</t>
    <phoneticPr fontId="10" type="noConversion"/>
  </si>
  <si>
    <t>嘣技能</t>
    <phoneticPr fontId="10" type="noConversion"/>
  </si>
  <si>
    <t>嘣技能+1</t>
    <phoneticPr fontId="10" type="noConversion"/>
  </si>
  <si>
    <t>火焰领主普攻</t>
    <phoneticPr fontId="10" type="noConversion"/>
  </si>
  <si>
    <t>火焰领主普攻+1</t>
    <phoneticPr fontId="10" type="noConversion"/>
  </si>
  <si>
    <t>火焰领主自动喷火</t>
    <phoneticPr fontId="10" type="noConversion"/>
  </si>
  <si>
    <t>火焰领主自动喷火+1</t>
    <phoneticPr fontId="10" type="noConversion"/>
  </si>
  <si>
    <t>左护法普攻</t>
    <phoneticPr fontId="10" type="noConversion"/>
  </si>
  <si>
    <t>左护法普攻+1</t>
    <phoneticPr fontId="10" type="noConversion"/>
  </si>
  <si>
    <t>右护法普攻</t>
    <phoneticPr fontId="10" type="noConversion"/>
  </si>
  <si>
    <t>右护法普攻+1</t>
    <phoneticPr fontId="10" type="noConversion"/>
  </si>
  <si>
    <t>喵夫人普攻-招喵</t>
    <phoneticPr fontId="10" type="noConversion"/>
  </si>
  <si>
    <t>喵夫人普攻-招喵+1</t>
    <phoneticPr fontId="10" type="noConversion"/>
  </si>
  <si>
    <t>子技能-喵夫人召唤</t>
    <phoneticPr fontId="10" type="noConversion"/>
  </si>
  <si>
    <t>子技能-喵夫人召唤+1</t>
    <phoneticPr fontId="10" type="noConversion"/>
  </si>
  <si>
    <t>武士亡魂普攻</t>
    <phoneticPr fontId="10" type="noConversion"/>
  </si>
  <si>
    <t>武士亡魂普攻+1</t>
    <phoneticPr fontId="10" type="noConversion"/>
  </si>
  <si>
    <t>火焰领主1分裂普攻</t>
    <phoneticPr fontId="10" type="noConversion"/>
  </si>
  <si>
    <t>火焰领主1分裂普攻+1</t>
    <phoneticPr fontId="10" type="noConversion"/>
  </si>
  <si>
    <t>火焰领主2分裂普攻</t>
    <phoneticPr fontId="10" type="noConversion"/>
  </si>
  <si>
    <t>火焰领主2分裂普攻+1</t>
    <phoneticPr fontId="10" type="noConversion"/>
  </si>
  <si>
    <t>火焰领主1次分裂</t>
    <phoneticPr fontId="10" type="noConversion"/>
  </si>
  <si>
    <t>火焰领主1次分裂+1</t>
    <phoneticPr fontId="10" type="noConversion"/>
  </si>
  <si>
    <t>火焰领主2次分裂</t>
    <phoneticPr fontId="10" type="noConversion"/>
  </si>
  <si>
    <t>火焰领主2次分裂+1</t>
    <phoneticPr fontId="10" type="noConversion"/>
  </si>
  <si>
    <t>牛头嘲讽子技能减速</t>
    <phoneticPr fontId="10" type="noConversion"/>
  </si>
  <si>
    <t>牛头嘲讽子技能减速+1</t>
    <phoneticPr fontId="10" type="noConversion"/>
  </si>
  <si>
    <t>魅魔普攻</t>
    <phoneticPr fontId="10" type="noConversion"/>
  </si>
  <si>
    <t>魅魔普攻+1</t>
    <phoneticPr fontId="10" type="noConversion"/>
  </si>
  <si>
    <t>死神普攻</t>
    <phoneticPr fontId="10" type="noConversion"/>
  </si>
  <si>
    <t>死神普攻+1</t>
    <phoneticPr fontId="10" type="noConversion"/>
  </si>
  <si>
    <t>祖母技能</t>
    <phoneticPr fontId="10" type="noConversion"/>
  </si>
  <si>
    <t>祖母技能+1</t>
    <phoneticPr fontId="10" type="noConversion"/>
  </si>
  <si>
    <t>喵夫人卫士普攻</t>
    <phoneticPr fontId="10" type="noConversion"/>
  </si>
  <si>
    <t>喵夫人卫士普攻+1</t>
    <phoneticPr fontId="10" type="noConversion"/>
  </si>
  <si>
    <t>喵夫人卫士普攻+2</t>
    <phoneticPr fontId="10" type="noConversion"/>
  </si>
  <si>
    <t>喵夫人卫士普攻+3</t>
    <phoneticPr fontId="10" type="noConversion"/>
  </si>
  <si>
    <t>喵夫人卫士普攻+4</t>
    <phoneticPr fontId="10" type="noConversion"/>
  </si>
  <si>
    <t>喵夫人卫士普攻+5</t>
    <phoneticPr fontId="10" type="noConversion"/>
  </si>
  <si>
    <t>喵夫人卫士普攻+6</t>
    <phoneticPr fontId="10" type="noConversion"/>
  </si>
  <si>
    <t>喵夫人卫士普攻+7</t>
    <phoneticPr fontId="10" type="noConversion"/>
  </si>
  <si>
    <t>喵夫人卫士普攻+8</t>
    <phoneticPr fontId="10" type="noConversion"/>
  </si>
  <si>
    <t>喵夫人卫士普攻+9</t>
    <phoneticPr fontId="10" type="noConversion"/>
  </si>
  <si>
    <t>喵夫人卫士普攻+10</t>
    <phoneticPr fontId="10" type="noConversion"/>
  </si>
  <si>
    <t>计算HP</t>
    <phoneticPr fontId="5" type="noConversion"/>
  </si>
  <si>
    <t>计算HP成长</t>
    <phoneticPr fontId="5" type="noConversion"/>
  </si>
  <si>
    <t>计算ATK</t>
    <phoneticPr fontId="5" type="noConversion"/>
  </si>
  <si>
    <t>计算ATK成长</t>
    <phoneticPr fontId="5" type="noConversion"/>
  </si>
  <si>
    <t>所属角色</t>
    <phoneticPr fontId="5" type="noConversion"/>
  </si>
  <si>
    <t>武士亡魂</t>
    <phoneticPr fontId="10" type="noConversion"/>
  </si>
  <si>
    <t>武士亡魂+1</t>
    <phoneticPr fontId="10" type="noConversion"/>
  </si>
  <si>
    <t>武士亡魂+2</t>
    <phoneticPr fontId="5" type="noConversion"/>
  </si>
  <si>
    <t>武士亡魂+3</t>
    <phoneticPr fontId="5" type="noConversion"/>
  </si>
  <si>
    <t>武士亡魂+4</t>
    <phoneticPr fontId="5" type="noConversion"/>
  </si>
  <si>
    <t>武士亡魂+5</t>
    <phoneticPr fontId="5" type="noConversion"/>
  </si>
  <si>
    <t>武士亡魂+6</t>
    <phoneticPr fontId="5" type="noConversion"/>
  </si>
  <si>
    <t>武士亡魂+7</t>
    <phoneticPr fontId="5" type="noConversion"/>
  </si>
  <si>
    <t>武士亡魂+8</t>
    <phoneticPr fontId="5" type="noConversion"/>
  </si>
  <si>
    <t>武士亡魂+9</t>
    <phoneticPr fontId="5" type="noConversion"/>
  </si>
  <si>
    <t>武士亡魂+10</t>
    <phoneticPr fontId="5" type="noConversion"/>
  </si>
  <si>
    <t>攻速修正</t>
    <phoneticPr fontId="5" type="noConversion"/>
  </si>
  <si>
    <t>是否攻速修正</t>
    <phoneticPr fontId="5" type="noConversion"/>
  </si>
  <si>
    <t>标模伤害</t>
    <phoneticPr fontId="5" type="noConversion"/>
  </si>
  <si>
    <t>表模伤害增长</t>
    <phoneticPr fontId="5" type="noConversion"/>
  </si>
  <si>
    <t>攻击范围</t>
    <phoneticPr fontId="5" type="noConversion"/>
  </si>
  <si>
    <t>单体</t>
  </si>
  <si>
    <t>攻击范围修正</t>
    <phoneticPr fontId="5" type="noConversion"/>
  </si>
  <si>
    <t>小范围</t>
  </si>
  <si>
    <t>大范围</t>
  </si>
  <si>
    <t>辅助技能</t>
    <phoneticPr fontId="5" type="noConversion"/>
  </si>
  <si>
    <t>人为修正</t>
    <phoneticPr fontId="5" type="noConversion"/>
  </si>
  <si>
    <t>计算伤害</t>
    <phoneticPr fontId="5" type="noConversion"/>
  </si>
  <si>
    <t>计算成长</t>
    <phoneticPr fontId="5" type="noConversion"/>
  </si>
  <si>
    <t>策划备注</t>
    <phoneticPr fontId="5" type="noConversion"/>
  </si>
  <si>
    <t>暴风女闪电伤害+0</t>
    <phoneticPr fontId="5" type="noConversion"/>
  </si>
  <si>
    <t>暴风女闪电伤害+1</t>
  </si>
  <si>
    <t>暴风女闪电伤害+2</t>
  </si>
  <si>
    <t>暴风女闪电伤害+3</t>
  </si>
  <si>
    <t>暴风女闪电伤害+4</t>
  </si>
  <si>
    <t>暴风女闪电伤害+5</t>
  </si>
  <si>
    <t>暴风女闪电伤害+6</t>
  </si>
  <si>
    <t>暴风女闪电伤害+7</t>
  </si>
  <si>
    <t>暴风女闪电伤害+8</t>
  </si>
  <si>
    <t>暴风女闪电伤害+9</t>
  </si>
  <si>
    <t>暴风女闪电伤害+10</t>
  </si>
  <si>
    <t>飞矛手毒箭+0</t>
    <phoneticPr fontId="5" type="noConversion"/>
  </si>
  <si>
    <t>卡亚刀阵+0</t>
    <phoneticPr fontId="5" type="noConversion"/>
  </si>
  <si>
    <t>卡亚刀阵+1</t>
  </si>
  <si>
    <t>卡亚刀阵+2</t>
  </si>
  <si>
    <t>卡亚刀阵+3</t>
  </si>
  <si>
    <t>卡亚刀阵+4</t>
  </si>
  <si>
    <t>卡亚刀阵+5</t>
  </si>
  <si>
    <t>卡亚刀阵+6</t>
  </si>
  <si>
    <t>卡亚刀阵+7</t>
  </si>
  <si>
    <t>卡亚刀阵+8</t>
  </si>
  <si>
    <t>卡亚刀阵+9</t>
  </si>
  <si>
    <t>卡亚刀阵+10</t>
  </si>
  <si>
    <t>zero点燃+0</t>
    <phoneticPr fontId="5" type="noConversion"/>
  </si>
  <si>
    <t>zero点燃+1</t>
  </si>
  <si>
    <t>zero点燃+2</t>
  </si>
  <si>
    <t>zero点燃+3</t>
  </si>
  <si>
    <t>zero点燃+4</t>
  </si>
  <si>
    <t>zero点燃+5</t>
  </si>
  <si>
    <t>zero点燃+6</t>
  </si>
  <si>
    <t>zero点燃+7</t>
  </si>
  <si>
    <t>zero点燃+8</t>
  </si>
  <si>
    <t>zero点燃+9</t>
  </si>
  <si>
    <t>zero点燃+10</t>
  </si>
  <si>
    <t>小鹿毒箭+0</t>
    <phoneticPr fontId="5" type="noConversion"/>
  </si>
  <si>
    <t>小鹿毒箭+1</t>
  </si>
  <si>
    <t>小鹿回春+0</t>
    <phoneticPr fontId="5" type="noConversion"/>
  </si>
  <si>
    <t>小鹿回春+1</t>
  </si>
  <si>
    <t>辅助技能</t>
  </si>
  <si>
    <t>攻击次数</t>
    <phoneticPr fontId="5" type="noConversion"/>
  </si>
  <si>
    <t>攻击距离</t>
    <phoneticPr fontId="5" type="noConversion"/>
  </si>
  <si>
    <t>是否普攻</t>
    <phoneticPr fontId="5" type="noConversion"/>
  </si>
  <si>
    <t>狂暴巨人普攻_碎裂</t>
    <phoneticPr fontId="10" type="noConversion"/>
  </si>
  <si>
    <t>狂暴巨人普攻_碎裂+1</t>
    <phoneticPr fontId="10" type="noConversion"/>
  </si>
  <si>
    <t>狂暴巨人普攻_碎裂+2</t>
    <phoneticPr fontId="5" type="noConversion"/>
  </si>
  <si>
    <t>狂暴巨人普攻_碎裂+3</t>
    <phoneticPr fontId="5" type="noConversion"/>
  </si>
  <si>
    <t>狂暴巨人普攻_碎裂+4</t>
    <phoneticPr fontId="5" type="noConversion"/>
  </si>
  <si>
    <t>狂暴巨人普攻_碎裂+5</t>
    <phoneticPr fontId="5" type="noConversion"/>
  </si>
  <si>
    <t>狂暴巨人普攻_碎裂+6</t>
    <phoneticPr fontId="5" type="noConversion"/>
  </si>
  <si>
    <t>狂暴巨人普攻_碎裂+7</t>
    <phoneticPr fontId="5" type="noConversion"/>
  </si>
  <si>
    <t>狂暴巨人普攻_碎裂+8</t>
    <phoneticPr fontId="5" type="noConversion"/>
  </si>
  <si>
    <t>狂暴巨人普攻_碎裂+9</t>
    <phoneticPr fontId="5" type="noConversion"/>
  </si>
  <si>
    <t>狂暴巨人普攻_碎裂+10</t>
    <phoneticPr fontId="5" type="noConversion"/>
  </si>
  <si>
    <t>骑士普攻_重击</t>
    <phoneticPr fontId="10" type="noConversion"/>
  </si>
  <si>
    <t>骑士普攻_重击+1</t>
    <phoneticPr fontId="10" type="noConversion"/>
  </si>
  <si>
    <t>骑士普攻_重击+2</t>
    <phoneticPr fontId="5" type="noConversion"/>
  </si>
  <si>
    <t>骑士普攻_重击+3</t>
    <phoneticPr fontId="5" type="noConversion"/>
  </si>
  <si>
    <t>骑士普攻_重击+4</t>
    <phoneticPr fontId="5" type="noConversion"/>
  </si>
  <si>
    <t>骑士普攻_重击+5</t>
    <phoneticPr fontId="5" type="noConversion"/>
  </si>
  <si>
    <t>骑士普攻_重击+6</t>
    <phoneticPr fontId="5" type="noConversion"/>
  </si>
  <si>
    <t>骑士普攻_重击+7</t>
    <phoneticPr fontId="5" type="noConversion"/>
  </si>
  <si>
    <t>骑士普攻_重击+8</t>
    <phoneticPr fontId="5" type="noConversion"/>
  </si>
  <si>
    <t>骑士普攻_重击+9</t>
    <phoneticPr fontId="5" type="noConversion"/>
  </si>
  <si>
    <t>骑士普攻_重击+10</t>
    <phoneticPr fontId="5" type="noConversion"/>
  </si>
  <si>
    <t>鹰身人普攻_吹风</t>
    <phoneticPr fontId="10" type="noConversion"/>
  </si>
  <si>
    <t>鹰身人普攻_吹风+1</t>
    <phoneticPr fontId="10" type="noConversion"/>
  </si>
  <si>
    <t>鹰身人普攻_吹风+2</t>
    <phoneticPr fontId="5" type="noConversion"/>
  </si>
  <si>
    <t>鹰身人普攻_吹风+3</t>
    <phoneticPr fontId="5" type="noConversion"/>
  </si>
  <si>
    <t>鹰身人普攻_吹风+4</t>
    <phoneticPr fontId="5" type="noConversion"/>
  </si>
  <si>
    <t>鹰身人普攻_吹风+5</t>
    <phoneticPr fontId="5" type="noConversion"/>
  </si>
  <si>
    <t>鹰身人普攻_吹风+6</t>
    <phoneticPr fontId="5" type="noConversion"/>
  </si>
  <si>
    <t>鹰身人普攻_吹风+7</t>
    <phoneticPr fontId="5" type="noConversion"/>
  </si>
  <si>
    <t>鹰身人普攻_吹风+8</t>
    <phoneticPr fontId="5" type="noConversion"/>
  </si>
  <si>
    <t>鹰身人普攻_吹风+9</t>
    <phoneticPr fontId="5" type="noConversion"/>
  </si>
  <si>
    <t>鹰身人普攻_吹风+10</t>
    <phoneticPr fontId="5" type="noConversion"/>
  </si>
  <si>
    <t>小鹿普攻_毒箭</t>
    <phoneticPr fontId="10" type="noConversion"/>
  </si>
  <si>
    <t>小鹿普攻_毒箭+1</t>
    <phoneticPr fontId="10" type="noConversion"/>
  </si>
  <si>
    <t>小鹿普攻_毒箭+2</t>
    <phoneticPr fontId="5" type="noConversion"/>
  </si>
  <si>
    <t>小鹿普攻_毒箭+3</t>
    <phoneticPr fontId="5" type="noConversion"/>
  </si>
  <si>
    <t>小鹿普攻_毒箭+4</t>
    <phoneticPr fontId="5" type="noConversion"/>
  </si>
  <si>
    <t>小鹿普攻_毒箭+5</t>
    <phoneticPr fontId="5" type="noConversion"/>
  </si>
  <si>
    <t>小鹿普攻_毒箭+6</t>
    <phoneticPr fontId="5" type="noConversion"/>
  </si>
  <si>
    <t>小鹿普攻_毒箭+7</t>
    <phoneticPr fontId="5" type="noConversion"/>
  </si>
  <si>
    <t>小鹿普攻_毒箭+8</t>
    <phoneticPr fontId="5" type="noConversion"/>
  </si>
  <si>
    <t>小鹿普攻_毒箭+9</t>
    <phoneticPr fontId="5" type="noConversion"/>
  </si>
  <si>
    <t>小鹿普攻_毒箭+10</t>
    <phoneticPr fontId="5" type="noConversion"/>
  </si>
  <si>
    <t>蓝电法师普攻_电击+1</t>
    <phoneticPr fontId="10" type="noConversion"/>
  </si>
  <si>
    <t>蓝电法师普攻_电击+2</t>
    <phoneticPr fontId="5" type="noConversion"/>
  </si>
  <si>
    <t>蓝电法师普攻_电击+3</t>
    <phoneticPr fontId="5" type="noConversion"/>
  </si>
  <si>
    <t>蓝电法师普攻_电击+4</t>
    <phoneticPr fontId="5" type="noConversion"/>
  </si>
  <si>
    <t>蓝电法师普攻_电击+5</t>
    <phoneticPr fontId="5" type="noConversion"/>
  </si>
  <si>
    <t>蓝电法师普攻_电击+6</t>
    <phoneticPr fontId="5" type="noConversion"/>
  </si>
  <si>
    <t>蓝电法师普攻_电击+7</t>
    <phoneticPr fontId="5" type="noConversion"/>
  </si>
  <si>
    <t>蓝电法师普攻_电击+8</t>
    <phoneticPr fontId="5" type="noConversion"/>
  </si>
  <si>
    <t>蓝电法师普攻_电击+9</t>
    <phoneticPr fontId="5" type="noConversion"/>
  </si>
  <si>
    <t>蓝电法师普攻_电击+10</t>
    <phoneticPr fontId="5" type="noConversion"/>
  </si>
  <si>
    <t>魅惑普攻_魅惑</t>
    <phoneticPr fontId="10" type="noConversion"/>
  </si>
  <si>
    <t>魅惑普攻_魅惑+1</t>
    <phoneticPr fontId="10" type="noConversion"/>
  </si>
  <si>
    <t>魅惑普攻_魅惑+2</t>
    <phoneticPr fontId="5" type="noConversion"/>
  </si>
  <si>
    <t>魅惑普攻_魅惑+3</t>
    <phoneticPr fontId="5" type="noConversion"/>
  </si>
  <si>
    <t>魅惑普攻_魅惑+4</t>
    <phoneticPr fontId="5" type="noConversion"/>
  </si>
  <si>
    <t>魅惑普攻_魅惑+5</t>
    <phoneticPr fontId="5" type="noConversion"/>
  </si>
  <si>
    <t>魅惑普攻_魅惑+6</t>
    <phoneticPr fontId="5" type="noConversion"/>
  </si>
  <si>
    <t>魅惑普攻_魅惑+7</t>
    <phoneticPr fontId="5" type="noConversion"/>
  </si>
  <si>
    <t>魅惑普攻_魅惑+8</t>
    <phoneticPr fontId="5" type="noConversion"/>
  </si>
  <si>
    <t>魅惑普攻_魅惑+9</t>
    <phoneticPr fontId="5" type="noConversion"/>
  </si>
  <si>
    <t>魅惑普攻_魅惑+10</t>
    <phoneticPr fontId="5" type="noConversion"/>
  </si>
  <si>
    <t>雪人冰冻术</t>
    <phoneticPr fontId="5" type="noConversion"/>
  </si>
  <si>
    <t>雪人冰冻术+1</t>
    <phoneticPr fontId="5" type="noConversion"/>
  </si>
  <si>
    <t>雪人冰冻术+2</t>
    <phoneticPr fontId="5" type="noConversion"/>
  </si>
  <si>
    <t>雪人冰冻术+3</t>
    <phoneticPr fontId="5" type="noConversion"/>
  </si>
  <si>
    <t>雪人冰冻术+4</t>
    <phoneticPr fontId="5" type="noConversion"/>
  </si>
  <si>
    <t>雪人冰冻术+5</t>
    <phoneticPr fontId="5" type="noConversion"/>
  </si>
  <si>
    <t>雪人冰冻术+6</t>
    <phoneticPr fontId="5" type="noConversion"/>
  </si>
  <si>
    <t>雪人冰冻术+7</t>
    <phoneticPr fontId="5" type="noConversion"/>
  </si>
  <si>
    <t>雪人冰冻术+8</t>
    <phoneticPr fontId="5" type="noConversion"/>
  </si>
  <si>
    <t>雪人冰冻术+9</t>
    <phoneticPr fontId="5" type="noConversion"/>
  </si>
  <si>
    <t>雪人冰冻术+10</t>
    <phoneticPr fontId="5" type="noConversion"/>
  </si>
  <si>
    <t>显示品质ID</t>
    <phoneticPr fontId="5" type="noConversion"/>
  </si>
  <si>
    <t>计算品质</t>
    <phoneticPr fontId="5" type="noConversion"/>
  </si>
  <si>
    <t>计算移动速度</t>
    <phoneticPr fontId="5" type="noConversion"/>
  </si>
  <si>
    <t>计算耗费</t>
    <phoneticPr fontId="5" type="noConversion"/>
  </si>
  <si>
    <t>状态ID</t>
    <phoneticPr fontId="5" type="noConversion"/>
  </si>
  <si>
    <t>计算伤害值</t>
    <phoneticPr fontId="5" type="noConversion"/>
  </si>
  <si>
    <t>计算伤害成长</t>
    <phoneticPr fontId="5" type="noConversion"/>
  </si>
  <si>
    <t>突破ID</t>
    <phoneticPr fontId="5" type="noConversion"/>
  </si>
  <si>
    <t>消耗金币数量</t>
    <phoneticPr fontId="5" type="noConversion"/>
  </si>
  <si>
    <t>道具种类数量</t>
    <phoneticPr fontId="5" type="noConversion"/>
  </si>
  <si>
    <t>消耗道具ID1</t>
    <phoneticPr fontId="5" type="noConversion"/>
  </si>
  <si>
    <t>消耗道具数量1</t>
    <phoneticPr fontId="5" type="noConversion"/>
  </si>
  <si>
    <t>主角男</t>
  </si>
  <si>
    <t>主角女</t>
  </si>
  <si>
    <t>主角男+1</t>
  </si>
  <si>
    <t>主角男+2</t>
  </si>
  <si>
    <t>主角女+1</t>
  </si>
  <si>
    <t>主角女+2</t>
  </si>
  <si>
    <t>骑士</t>
  </si>
  <si>
    <t>骑士+1</t>
  </si>
  <si>
    <t>骑士+10</t>
  </si>
  <si>
    <t>酒桶泰坦</t>
  </si>
  <si>
    <t>酒桶泰坦+1</t>
  </si>
  <si>
    <t>酒桶泰坦+2</t>
  </si>
  <si>
    <t>飞矛手</t>
  </si>
  <si>
    <t>飞矛手+1</t>
  </si>
  <si>
    <t>雪人</t>
  </si>
  <si>
    <t>雪人+1</t>
  </si>
  <si>
    <t>小花</t>
  </si>
  <si>
    <t>小花+1</t>
  </si>
  <si>
    <t>空投者</t>
  </si>
  <si>
    <t>空投者+1</t>
  </si>
  <si>
    <t>小树妖</t>
  </si>
  <si>
    <t>小树妖+1</t>
  </si>
  <si>
    <t>忍者</t>
  </si>
  <si>
    <t>忍者+1</t>
  </si>
  <si>
    <t>英雄-阴阳师</t>
  </si>
  <si>
    <t>英雄-阴阳师+1</t>
  </si>
  <si>
    <t>英雄-暴风女</t>
  </si>
  <si>
    <t>英雄-暴风女+1</t>
  </si>
  <si>
    <t>力士</t>
  </si>
  <si>
    <t>力士+1</t>
  </si>
  <si>
    <t>英雄-zero</t>
  </si>
  <si>
    <t>英雄-zero+1</t>
  </si>
  <si>
    <t>泰坦飞斧</t>
  </si>
  <si>
    <t>泰坦飞斧+1</t>
  </si>
  <si>
    <t>泰坦飞斧+2</t>
  </si>
  <si>
    <t>泰坦飞斧+3</t>
  </si>
  <si>
    <t>泰坦飞斧+4</t>
  </si>
  <si>
    <t>泰坦飞斧+5</t>
  </si>
  <si>
    <t>泰坦飞斧+6</t>
  </si>
  <si>
    <t>泰坦飞斧+7</t>
  </si>
  <si>
    <t>泰坦飞斧+8</t>
  </si>
  <si>
    <t>泰坦飞斧+9</t>
  </si>
  <si>
    <t>泰坦飞斧+10</t>
  </si>
  <si>
    <t>小炮手</t>
  </si>
  <si>
    <t>小炮手+1</t>
  </si>
  <si>
    <t>铠甲熊</t>
  </si>
  <si>
    <t>铠甲熊+1</t>
  </si>
  <si>
    <t>狂暴巨人</t>
  </si>
  <si>
    <t>狂暴巨人+1</t>
  </si>
  <si>
    <t>英雄-小恩</t>
  </si>
  <si>
    <t>英雄-小恩+1</t>
  </si>
  <si>
    <t>英雄-牛头酋长</t>
  </si>
  <si>
    <t>英雄-牛头酋长+1</t>
  </si>
  <si>
    <t>英雄-卡亚</t>
  </si>
  <si>
    <t>英雄-卡亚+1</t>
  </si>
  <si>
    <t>英雄-白幽灵</t>
  </si>
  <si>
    <t>英雄-白幽灵+1</t>
  </si>
  <si>
    <t>暴风步兵</t>
  </si>
  <si>
    <t>暴风步兵+1</t>
  </si>
  <si>
    <t>鹰身人</t>
  </si>
  <si>
    <t>鹰身人+1</t>
  </si>
  <si>
    <t>斯巴达</t>
  </si>
  <si>
    <t>斯巴达+1</t>
  </si>
  <si>
    <t>樱花武士</t>
  </si>
  <si>
    <t>樱花武士+1</t>
  </si>
  <si>
    <t>英雄-黑岩</t>
  </si>
  <si>
    <t>英雄-黑岩+1</t>
  </si>
  <si>
    <t>英雄-黑岩+2</t>
  </si>
  <si>
    <t>英雄-黑岩+3</t>
  </si>
  <si>
    <t>英雄-黑岩+4</t>
  </si>
  <si>
    <t>英雄-黑岩+5</t>
  </si>
  <si>
    <t>英雄-黑岩+6</t>
  </si>
  <si>
    <t>英雄-黑岩+7</t>
  </si>
  <si>
    <t>英雄-黑岩+8</t>
  </si>
  <si>
    <t>英雄-黑岩+9</t>
  </si>
  <si>
    <t>英雄-黑岩+10</t>
  </si>
  <si>
    <t>大嘴巨人</t>
  </si>
  <si>
    <t>大嘴巨人+1</t>
  </si>
  <si>
    <t>英雄-钢刀</t>
  </si>
  <si>
    <t>英雄-钢刀+1</t>
  </si>
  <si>
    <t>英雄-钢刀+2</t>
  </si>
  <si>
    <t>英雄-钢刀+3</t>
  </si>
  <si>
    <t>英雄-钢刀+4</t>
  </si>
  <si>
    <t>英雄-钢刀+5</t>
  </si>
  <si>
    <t>英雄-钢刀+6</t>
  </si>
  <si>
    <t>英雄-钢刀+7</t>
  </si>
  <si>
    <t>英雄-钢刀+8</t>
  </si>
  <si>
    <t>英雄-钢刀+9</t>
  </si>
  <si>
    <t>英雄-钢刀+10</t>
  </si>
  <si>
    <t>术士古尔丹</t>
  </si>
  <si>
    <t>术士古尔丹+1</t>
  </si>
  <si>
    <t>泰兰</t>
  </si>
  <si>
    <t>英雄-泰兰+1</t>
  </si>
  <si>
    <t>英雄-泰兰+2</t>
  </si>
  <si>
    <t>英雄-泰兰+3</t>
  </si>
  <si>
    <t>英雄-泰兰+4</t>
  </si>
  <si>
    <t>英雄-泰兰+5</t>
  </si>
  <si>
    <t>英雄-泰兰+6</t>
  </si>
  <si>
    <t>英雄-泰兰+7</t>
  </si>
  <si>
    <t>英雄-泰兰+8</t>
  </si>
  <si>
    <t>英雄-泰兰+9</t>
  </si>
  <si>
    <t>英雄-泰兰+10</t>
  </si>
  <si>
    <t>英雄-喵夫人</t>
  </si>
  <si>
    <t>英雄-喵夫人+1</t>
  </si>
  <si>
    <t>喵卫士</t>
  </si>
  <si>
    <t>喵卫士+1</t>
  </si>
  <si>
    <t>粉红女巫</t>
  </si>
  <si>
    <t>粉红女巫+1</t>
  </si>
  <si>
    <t>小鹿</t>
  </si>
  <si>
    <t>小鹿+1</t>
  </si>
  <si>
    <t>投棘者</t>
  </si>
  <si>
    <t>投棘者+1</t>
  </si>
  <si>
    <t>红宝石法师</t>
  </si>
  <si>
    <t>红宝石法师+1</t>
  </si>
  <si>
    <t>蓝电法师</t>
  </si>
  <si>
    <t>蓝电法师+1</t>
  </si>
  <si>
    <t>嘣</t>
  </si>
  <si>
    <t>嘣+1</t>
  </si>
  <si>
    <t>嘣+2</t>
  </si>
  <si>
    <t>嘣+3</t>
  </si>
  <si>
    <t>嘣+4</t>
  </si>
  <si>
    <t>嘣+5</t>
  </si>
  <si>
    <t>嘣+6</t>
  </si>
  <si>
    <t>嘣+7</t>
  </si>
  <si>
    <t>嘣+8</t>
  </si>
  <si>
    <t>嘣+9</t>
  </si>
  <si>
    <t>嘣+10</t>
  </si>
  <si>
    <t>左护法</t>
  </si>
  <si>
    <t>左护法+1</t>
  </si>
  <si>
    <t>右护法</t>
  </si>
  <si>
    <t>右护法+1</t>
  </si>
  <si>
    <t>魅魔</t>
  </si>
  <si>
    <t>魅魔+1</t>
  </si>
  <si>
    <t>卡牌进阶数据</t>
    <phoneticPr fontId="5" type="noConversion"/>
  </si>
  <si>
    <t>卡牌</t>
  </si>
  <si>
    <t>金币</t>
  </si>
  <si>
    <t>等级</t>
  </si>
  <si>
    <t>白卡</t>
  </si>
  <si>
    <t>蓝卡</t>
  </si>
  <si>
    <t>紫卡</t>
  </si>
  <si>
    <t>橙卡</t>
  </si>
  <si>
    <t>突破石</t>
    <phoneticPr fontId="5" type="noConversion"/>
  </si>
  <si>
    <t>品质</t>
    <phoneticPr fontId="5" type="noConversion"/>
  </si>
  <si>
    <t>进阶</t>
    <phoneticPr fontId="5" type="noConversion"/>
  </si>
  <si>
    <t>绿卡</t>
    <phoneticPr fontId="5" type="noConversion"/>
  </si>
  <si>
    <t>碎片</t>
    <phoneticPr fontId="5" type="noConversion"/>
  </si>
  <si>
    <t>突破石</t>
    <phoneticPr fontId="5" type="noConversion"/>
  </si>
  <si>
    <t>GM碎片</t>
    <phoneticPr fontId="5" type="noConversion"/>
  </si>
  <si>
    <t>ID</t>
    <phoneticPr fontId="2" type="noConversion"/>
  </si>
  <si>
    <t>斯巴达出场伤害</t>
  </si>
  <si>
    <t>斯巴达出场伤害+1</t>
  </si>
  <si>
    <t>斯巴达出场伤害+2</t>
  </si>
  <si>
    <t>斯巴达出场伤害+3</t>
  </si>
  <si>
    <t>斯巴达出场伤害+4</t>
  </si>
  <si>
    <t>斯巴达出场伤害+5</t>
  </si>
  <si>
    <t>斯巴达出场伤害+6</t>
  </si>
  <si>
    <t>斯巴达出场伤害+7</t>
  </si>
  <si>
    <t>斯巴达出场伤害+8</t>
  </si>
  <si>
    <t>斯巴达出场伤害+9</t>
  </si>
  <si>
    <t>斯巴达出场伤害+10</t>
  </si>
  <si>
    <t>远程</t>
    <phoneticPr fontId="5" type="noConversion"/>
  </si>
  <si>
    <t>法师</t>
    <phoneticPr fontId="5" type="noConversion"/>
  </si>
  <si>
    <t>空军</t>
    <phoneticPr fontId="5" type="noConversion"/>
  </si>
  <si>
    <t>鲁莽的</t>
    <phoneticPr fontId="5" type="noConversion"/>
  </si>
  <si>
    <t>英勇的</t>
  </si>
  <si>
    <t>英勇的</t>
    <phoneticPr fontId="5" type="noConversion"/>
  </si>
  <si>
    <t>普通的</t>
  </si>
  <si>
    <t>普通的</t>
    <phoneticPr fontId="5" type="noConversion"/>
  </si>
  <si>
    <t>胆小的</t>
    <phoneticPr fontId="5" type="noConversion"/>
  </si>
  <si>
    <t>稳重的</t>
  </si>
  <si>
    <t>稳重的</t>
    <phoneticPr fontId="5" type="noConversion"/>
  </si>
  <si>
    <t>只打防塔</t>
    <phoneticPr fontId="5" type="noConversion"/>
  </si>
  <si>
    <t>慢速</t>
    <phoneticPr fontId="5" type="noConversion"/>
  </si>
  <si>
    <t>快速</t>
    <phoneticPr fontId="5" type="noConversion"/>
  </si>
  <si>
    <t>执着的</t>
    <phoneticPr fontId="5" type="noConversion"/>
  </si>
  <si>
    <t>急速</t>
    <phoneticPr fontId="5" type="noConversion"/>
  </si>
  <si>
    <t>大搜索范围</t>
    <phoneticPr fontId="5" type="noConversion"/>
  </si>
  <si>
    <t>小搜索范围</t>
    <phoneticPr fontId="5" type="noConversion"/>
  </si>
  <si>
    <t>优先攻击后排</t>
    <phoneticPr fontId="5" type="noConversion"/>
  </si>
  <si>
    <t>性格</t>
    <phoneticPr fontId="5" type="noConversion"/>
  </si>
  <si>
    <t>英勇的</t>
    <phoneticPr fontId="5" type="noConversion"/>
  </si>
  <si>
    <t>抵挡致命一击</t>
    <phoneticPr fontId="5" type="noConversion"/>
  </si>
  <si>
    <t>移动速度加快</t>
    <phoneticPr fontId="5" type="noConversion"/>
  </si>
  <si>
    <t>普通的</t>
    <phoneticPr fontId="5" type="noConversion"/>
  </si>
  <si>
    <t>胆小的</t>
    <phoneticPr fontId="5" type="noConversion"/>
  </si>
  <si>
    <t>出生护盾，抵挡一次攻击</t>
    <phoneticPr fontId="5" type="noConversion"/>
  </si>
  <si>
    <t>可以对空</t>
    <phoneticPr fontId="5" type="noConversion"/>
  </si>
  <si>
    <t>下落晕人</t>
    <phoneticPr fontId="5" type="noConversion"/>
  </si>
  <si>
    <t>普通的</t>
    <phoneticPr fontId="5" type="noConversion"/>
  </si>
  <si>
    <t>胆小的</t>
  </si>
  <si>
    <t>胆小的</t>
    <phoneticPr fontId="5" type="noConversion"/>
  </si>
  <si>
    <t>复活数量+1</t>
    <phoneticPr fontId="5" type="noConversion"/>
  </si>
  <si>
    <t>英勇的</t>
    <phoneticPr fontId="5" type="noConversion"/>
  </si>
  <si>
    <t>英雄技能无法对小鹿造成伤害</t>
    <phoneticPr fontId="5" type="noConversion"/>
  </si>
  <si>
    <t>回春术附带净化功能</t>
    <phoneticPr fontId="5" type="noConversion"/>
  </si>
  <si>
    <t>鲁莽的</t>
  </si>
  <si>
    <t>攻击附带击退</t>
    <phoneticPr fontId="5" type="noConversion"/>
  </si>
  <si>
    <t>第三下攻击嘲讽</t>
    <phoneticPr fontId="5" type="noConversion"/>
  </si>
  <si>
    <t>薄葬(收到致命一击后，强制1点血，无敌，持续5秒)</t>
    <phoneticPr fontId="5" type="noConversion"/>
  </si>
  <si>
    <t>大招治疗改成一个范围场，场内持续回血</t>
    <phoneticPr fontId="5" type="noConversion"/>
  </si>
  <si>
    <t>执着的</t>
  </si>
  <si>
    <t>主母</t>
    <phoneticPr fontId="5" type="noConversion"/>
  </si>
  <si>
    <t>替身数(本体受到致命一击时，使用木桩做替身)</t>
  </si>
  <si>
    <t>普攻附带减速</t>
    <phoneticPr fontId="5" type="noConversion"/>
  </si>
  <si>
    <t>稳重的</t>
    <phoneticPr fontId="5" type="noConversion"/>
  </si>
  <si>
    <t>减速次数可叠加，叠加到3层冰冻1S</t>
    <phoneticPr fontId="5" type="noConversion"/>
  </si>
  <si>
    <t>喵之化身(亡语，分成4只喵)</t>
    <phoneticPr fontId="5" type="noConversion"/>
  </si>
  <si>
    <t>快速/急速</t>
    <phoneticPr fontId="5" type="noConversion"/>
  </si>
  <si>
    <t>鲁莽的/胆小的</t>
    <phoneticPr fontId="5" type="noConversion"/>
  </si>
  <si>
    <t>急速光环，友军移动速度提升</t>
    <phoneticPr fontId="5" type="noConversion"/>
  </si>
  <si>
    <t>少血急速</t>
    <phoneticPr fontId="5" type="noConversion"/>
  </si>
  <si>
    <t>移动速度加快</t>
    <phoneticPr fontId="5" type="noConversion"/>
  </si>
  <si>
    <r>
      <t>自爆后的d</t>
    </r>
    <r>
      <rPr>
        <sz val="11"/>
        <color theme="1"/>
        <rFont val="宋体"/>
        <family val="2"/>
        <scheme val="minor"/>
      </rPr>
      <t>ot，可使单位无法攻击</t>
    </r>
    <phoneticPr fontId="5" type="noConversion"/>
  </si>
  <si>
    <t>武士亡魂可以缓速移动</t>
    <phoneticPr fontId="5" type="noConversion"/>
  </si>
  <si>
    <t>黑肥肥增强</t>
    <phoneticPr fontId="5" type="noConversion"/>
  </si>
  <si>
    <t>大招范围增加</t>
    <phoneticPr fontId="5" type="noConversion"/>
  </si>
  <si>
    <t>大招变为龙卷风(效果参考CR)</t>
    <phoneticPr fontId="5" type="noConversion"/>
  </si>
  <si>
    <t>增加自动技能，封印，使对方无法移动3秒</t>
    <phoneticPr fontId="5" type="noConversion"/>
  </si>
  <si>
    <t>大招变为范围伤害</t>
    <phoneticPr fontId="5" type="noConversion"/>
  </si>
  <si>
    <t>出场灵魂链接</t>
    <phoneticPr fontId="5" type="noConversion"/>
  </si>
  <si>
    <t>第三次攻击为范围攻击</t>
    <phoneticPr fontId="5" type="noConversion"/>
  </si>
  <si>
    <t>变为远程攻击</t>
  </si>
  <si>
    <t>大招范围增大</t>
  </si>
  <si>
    <t>大招CD减短</t>
  </si>
  <si>
    <t>定位</t>
    <phoneticPr fontId="5" type="noConversion"/>
  </si>
  <si>
    <r>
      <t>人海流，克T和防塔，惧怕</t>
    </r>
    <r>
      <rPr>
        <sz val="11"/>
        <color theme="1"/>
        <rFont val="宋体"/>
        <family val="2"/>
        <scheme val="minor"/>
      </rPr>
      <t>AOE</t>
    </r>
    <phoneticPr fontId="5" type="noConversion"/>
  </si>
  <si>
    <r>
      <t>人海流，克制慢攻速单位，惧怕A</t>
    </r>
    <r>
      <rPr>
        <sz val="11"/>
        <color theme="1"/>
        <rFont val="宋体"/>
        <family val="2"/>
        <scheme val="minor"/>
      </rPr>
      <t>OE</t>
    </r>
    <phoneticPr fontId="5" type="noConversion"/>
  </si>
  <si>
    <t>远程超强输出，脆皮，不能对空</t>
    <phoneticPr fontId="5" type="noConversion"/>
  </si>
  <si>
    <t>变种AOE卡</t>
    <phoneticPr fontId="5" type="noConversion"/>
  </si>
  <si>
    <t>后排终结者</t>
    <phoneticPr fontId="5" type="noConversion"/>
  </si>
  <si>
    <t>慢速空军，完克小兵流</t>
    <phoneticPr fontId="5" type="noConversion"/>
  </si>
  <si>
    <t>强力T</t>
    <phoneticPr fontId="5" type="noConversion"/>
  </si>
  <si>
    <t>复活型英雄，配合高费兵种很6</t>
    <phoneticPr fontId="5" type="noConversion"/>
  </si>
  <si>
    <t>中费T</t>
    <phoneticPr fontId="5" type="noConversion"/>
  </si>
  <si>
    <t>低费T</t>
    <phoneticPr fontId="5" type="noConversion"/>
  </si>
  <si>
    <t>中费近战AOE</t>
    <phoneticPr fontId="5" type="noConversion"/>
  </si>
  <si>
    <t>低费治疗</t>
    <phoneticPr fontId="5" type="noConversion"/>
  </si>
  <si>
    <t>低费空军</t>
    <phoneticPr fontId="5" type="noConversion"/>
  </si>
  <si>
    <t>低费游侠，克制近战</t>
    <phoneticPr fontId="5" type="noConversion"/>
  </si>
  <si>
    <t>高费T</t>
    <phoneticPr fontId="5" type="noConversion"/>
  </si>
  <si>
    <t>治疗英雄</t>
    <phoneticPr fontId="5" type="noConversion"/>
  </si>
  <si>
    <t>远程攻城英雄</t>
    <phoneticPr fontId="5" type="noConversion"/>
  </si>
  <si>
    <t>中费偷塔</t>
    <phoneticPr fontId="5" type="noConversion"/>
  </si>
  <si>
    <t>单体减速</t>
    <phoneticPr fontId="5" type="noConversion"/>
  </si>
  <si>
    <t>群体减速</t>
    <phoneticPr fontId="5" type="noConversion"/>
  </si>
  <si>
    <t>中费远程AOE</t>
    <phoneticPr fontId="5" type="noConversion"/>
  </si>
  <si>
    <t>召唤流英雄</t>
    <phoneticPr fontId="5" type="noConversion"/>
  </si>
  <si>
    <t>偷塔狂魔</t>
    <phoneticPr fontId="5" type="noConversion"/>
  </si>
  <si>
    <t>空军自爆</t>
    <phoneticPr fontId="5" type="noConversion"/>
  </si>
  <si>
    <t>陆军自爆，赚费</t>
    <phoneticPr fontId="5" type="noConversion"/>
  </si>
  <si>
    <t>闪电法师</t>
    <phoneticPr fontId="5" type="noConversion"/>
  </si>
  <si>
    <t>亡语赚费卡</t>
    <phoneticPr fontId="5" type="noConversion"/>
  </si>
  <si>
    <t>杀人召唤流</t>
    <phoneticPr fontId="5" type="noConversion"/>
  </si>
  <si>
    <t>控制型英雄</t>
    <phoneticPr fontId="5" type="noConversion"/>
  </si>
  <si>
    <t>敏捷型战士</t>
    <phoneticPr fontId="5" type="noConversion"/>
  </si>
  <si>
    <t>远程输出英雄</t>
    <phoneticPr fontId="5" type="noConversion"/>
  </si>
  <si>
    <t>辅助型肉盾</t>
    <phoneticPr fontId="5" type="noConversion"/>
  </si>
  <si>
    <t>终极橙卡</t>
    <phoneticPr fontId="5" type="noConversion"/>
  </si>
  <si>
    <r>
      <t>d</t>
    </r>
    <r>
      <rPr>
        <sz val="11"/>
        <color theme="1"/>
        <rFont val="宋体"/>
        <family val="2"/>
        <scheme val="minor"/>
      </rPr>
      <t>ot能使对方命中率降低</t>
    </r>
    <phoneticPr fontId="5" type="noConversion"/>
  </si>
  <si>
    <t>强化召唤骷髅的能力</t>
    <phoneticPr fontId="5" type="noConversion"/>
  </si>
  <si>
    <t>AOE型英雄，这个AOE更易用</t>
    <phoneticPr fontId="5" type="noConversion"/>
  </si>
  <si>
    <t>大皮卡</t>
    <phoneticPr fontId="5" type="noConversion"/>
  </si>
  <si>
    <t>盖亚</t>
    <phoneticPr fontId="5" type="noConversion"/>
  </si>
  <si>
    <r>
      <t>毒圈长出藤蔓，使圈内人不可移动3</t>
    </r>
    <r>
      <rPr>
        <sz val="11"/>
        <color theme="1"/>
        <rFont val="宋体"/>
        <family val="2"/>
        <scheme val="minor"/>
      </rPr>
      <t>S</t>
    </r>
    <phoneticPr fontId="5" type="noConversion"/>
  </si>
  <si>
    <t>巨熊韧性（免疫一切控制）</t>
    <phoneticPr fontId="5" type="noConversion"/>
  </si>
  <si>
    <t>第3下目标击晕</t>
    <phoneticPr fontId="5" type="noConversion"/>
  </si>
  <si>
    <t>快速治疗(给一个自动技能)</t>
    <phoneticPr fontId="5" type="noConversion"/>
  </si>
  <si>
    <r>
      <t>魔法免疫(免疫技能伤害</t>
    </r>
    <r>
      <rPr>
        <sz val="11"/>
        <color theme="1"/>
        <rFont val="宋体"/>
        <family val="2"/>
        <scheme val="minor"/>
      </rPr>
      <t>)</t>
    </r>
    <phoneticPr fontId="5" type="noConversion"/>
  </si>
  <si>
    <t>忍者军团（其中两个忍者变成远程攻击）</t>
    <phoneticPr fontId="5" type="noConversion"/>
  </si>
  <si>
    <r>
      <t>死亡后爆炸，使周围单位受到伤害并冻结2</t>
    </r>
    <r>
      <rPr>
        <sz val="11"/>
        <color theme="1"/>
        <rFont val="宋体"/>
        <family val="2"/>
        <scheme val="minor"/>
      </rPr>
      <t>S</t>
    </r>
    <phoneticPr fontId="5" type="noConversion"/>
  </si>
  <si>
    <t>死亡爆炸对防塔的伤害提升</t>
    <phoneticPr fontId="5" type="noConversion"/>
  </si>
  <si>
    <t>减1费</t>
    <phoneticPr fontId="5" type="noConversion"/>
  </si>
  <si>
    <t>魔法炸弹（攻击忽略护甲）</t>
    <phoneticPr fontId="5" type="noConversion"/>
  </si>
  <si>
    <t>在光环范围内的友军隐身</t>
    <phoneticPr fontId="5" type="noConversion"/>
  </si>
  <si>
    <t>费用-1</t>
    <phoneticPr fontId="5" type="noConversion"/>
  </si>
  <si>
    <t>只要黑肥肥存在，古尔丹就不会死</t>
    <phoneticPr fontId="5" type="noConversion"/>
  </si>
  <si>
    <t>普攻忽略护甲</t>
    <phoneticPr fontId="5" type="noConversion"/>
  </si>
  <si>
    <t>每隔一段时间会吞噬一个小于等于5费的单位，大嘴死后吞噬的单位解放</t>
    <phoneticPr fontId="5" type="noConversion"/>
  </si>
  <si>
    <t>死于骷髅dot的单位，可使我方恢复1费</t>
    <phoneticPr fontId="5" type="noConversion"/>
  </si>
  <si>
    <t>第三下攻击范围击晕</t>
    <phoneticPr fontId="5" type="noConversion"/>
  </si>
  <si>
    <t>喵喵守卫</t>
    <phoneticPr fontId="5" type="noConversion"/>
  </si>
  <si>
    <t>小炮炮</t>
    <phoneticPr fontId="5" type="noConversion"/>
  </si>
  <si>
    <t>骑士</t>
    <phoneticPr fontId="5" type="noConversion"/>
  </si>
  <si>
    <t>震荡波可使单位眩晕2S</t>
    <phoneticPr fontId="5" type="noConversion"/>
  </si>
  <si>
    <t>更强的九命猫(死后3秒复活，35%血量)</t>
    <phoneticPr fontId="5" type="noConversion"/>
  </si>
  <si>
    <t>自带技能</t>
    <phoneticPr fontId="5" type="noConversion"/>
  </si>
  <si>
    <t>无</t>
    <phoneticPr fontId="5" type="noConversion"/>
  </si>
  <si>
    <t>战吼，下落伤害</t>
    <phoneticPr fontId="5" type="noConversion"/>
  </si>
  <si>
    <t>主动技能：嘲讽，迫使周围敌军攻击自己</t>
    <phoneticPr fontId="5" type="noConversion"/>
  </si>
  <si>
    <r>
      <t>嘲讽状态时，增加护甲3</t>
    </r>
    <r>
      <rPr>
        <sz val="11"/>
        <color theme="1"/>
        <rFont val="宋体"/>
        <family val="2"/>
        <scheme val="minor"/>
      </rPr>
      <t>0%</t>
    </r>
    <phoneticPr fontId="5" type="noConversion"/>
  </si>
  <si>
    <t>死后4S复活(15%血)</t>
    <phoneticPr fontId="5" type="noConversion"/>
  </si>
  <si>
    <r>
      <t>毒可叠次数</t>
    </r>
    <r>
      <rPr>
        <sz val="11"/>
        <color theme="1"/>
        <rFont val="宋体"/>
        <family val="2"/>
        <scheme val="minor"/>
      </rPr>
      <t>(</t>
    </r>
    <r>
      <rPr>
        <sz val="11"/>
        <color theme="1"/>
        <rFont val="宋体"/>
        <family val="2"/>
        <scheme val="minor"/>
      </rPr>
      <t>2</t>
    </r>
    <r>
      <rPr>
        <sz val="11"/>
        <color theme="1"/>
        <rFont val="宋体"/>
        <family val="2"/>
        <scheme val="minor"/>
      </rPr>
      <t>0层)</t>
    </r>
    <phoneticPr fontId="5" type="noConversion"/>
  </si>
  <si>
    <t>主动技能：复活一个友军，优先复活费用最高的</t>
    <phoneticPr fontId="5" type="noConversion"/>
  </si>
  <si>
    <t>主动技能：释放刀阵，在刀阵范围内的敌军持续受到伤害</t>
    <phoneticPr fontId="5" type="noConversion"/>
  </si>
  <si>
    <t>周围单位攻速提升(10%)</t>
    <phoneticPr fontId="5" type="noConversion"/>
  </si>
  <si>
    <t>卡亚刀阵可使单位减速(35%)</t>
    <phoneticPr fontId="5" type="noConversion"/>
  </si>
  <si>
    <r>
      <t>刀阵伤害提升(</t>
    </r>
    <r>
      <rPr>
        <sz val="11"/>
        <color theme="1"/>
        <rFont val="宋体"/>
        <family val="2"/>
        <scheme val="minor"/>
      </rPr>
      <t>30%)</t>
    </r>
    <phoneticPr fontId="5" type="noConversion"/>
  </si>
  <si>
    <r>
      <t>攻击恢复生命(</t>
    </r>
    <r>
      <rPr>
        <sz val="11"/>
        <color theme="1"/>
        <rFont val="宋体"/>
        <family val="2"/>
        <scheme val="minor"/>
      </rPr>
      <t>5%的生命)</t>
    </r>
    <phoneticPr fontId="5" type="noConversion"/>
  </si>
  <si>
    <t>第3次攻击放一个震荡波,伤害系数1.3</t>
    <phoneticPr fontId="5" type="noConversion"/>
  </si>
  <si>
    <t>濒死无敌4S</t>
    <phoneticPr fontId="5" type="noConversion"/>
  </si>
  <si>
    <r>
      <t>死亡后化身天使(不可攻击)，持续</t>
    </r>
    <r>
      <rPr>
        <sz val="11"/>
        <color theme="1"/>
        <rFont val="宋体"/>
        <family val="2"/>
        <scheme val="minor"/>
      </rPr>
      <t>4</t>
    </r>
    <r>
      <rPr>
        <sz val="11"/>
        <color theme="1"/>
        <rFont val="宋体"/>
        <family val="2"/>
        <scheme val="minor"/>
      </rPr>
      <t>秒</t>
    </r>
    <phoneticPr fontId="5" type="noConversion"/>
  </si>
  <si>
    <t>对同一目标攻击攻速递增(10S,50%)</t>
    <phoneticPr fontId="5" type="noConversion"/>
  </si>
  <si>
    <t>九命猫(死后3秒复活，10%血量)</t>
    <phoneticPr fontId="5" type="noConversion"/>
  </si>
  <si>
    <r>
      <t>受到远程攻击降低(</t>
    </r>
    <r>
      <rPr>
        <sz val="11"/>
        <color theme="1"/>
        <rFont val="宋体"/>
        <family val="2"/>
        <scheme val="minor"/>
      </rPr>
      <t>25%)</t>
    </r>
    <phoneticPr fontId="5" type="noConversion"/>
  </si>
  <si>
    <t>皇家步兵(范围内暴风步兵越多，攻击越高，每个12%)</t>
    <phoneticPr fontId="5" type="noConversion"/>
  </si>
  <si>
    <t>盾击训练(暴风步兵可以盾击，击晕对手1S,6S CD)</t>
    <phoneticPr fontId="5" type="noConversion"/>
  </si>
  <si>
    <t>提升射程到7</t>
    <phoneticPr fontId="5" type="noConversion"/>
  </si>
  <si>
    <r>
      <t>几率暴击(</t>
    </r>
    <r>
      <rPr>
        <sz val="11"/>
        <color theme="1"/>
        <rFont val="宋体"/>
        <family val="2"/>
        <scheme val="minor"/>
      </rPr>
      <t>30%,150%)</t>
    </r>
    <phoneticPr fontId="5" type="noConversion"/>
  </si>
  <si>
    <t>连弩(攻击速度提升15%)</t>
    <phoneticPr fontId="5" type="noConversion"/>
  </si>
  <si>
    <t>对血量低于35%的单位必然暴击(150%伤害)</t>
    <phoneticPr fontId="5" type="noConversion"/>
  </si>
  <si>
    <t>攻击3次，生成一个护盾，抵挡一次攻击</t>
    <phoneticPr fontId="5" type="noConversion"/>
  </si>
  <si>
    <t>出场一个护盾，挡一次伤害</t>
    <phoneticPr fontId="5" type="noConversion"/>
  </si>
  <si>
    <t>灼烧(使单位受到伤害提升15%)</t>
    <phoneticPr fontId="5" type="noConversion"/>
  </si>
  <si>
    <r>
      <t>攻城提升(</t>
    </r>
    <r>
      <rPr>
        <sz val="11"/>
        <color theme="1"/>
        <rFont val="宋体"/>
        <family val="2"/>
        <scheme val="minor"/>
      </rPr>
      <t>25%)</t>
    </r>
    <phoneticPr fontId="5" type="noConversion"/>
  </si>
  <si>
    <t>第3下重击(175%)</t>
    <phoneticPr fontId="5" type="noConversion"/>
  </si>
  <si>
    <t>杀人后提攻速(25%)，移速(35%),5S</t>
    <phoneticPr fontId="5" type="noConversion"/>
  </si>
  <si>
    <r>
      <t>穿上护甲(提升护甲</t>
    </r>
    <r>
      <rPr>
        <sz val="11"/>
        <color theme="1"/>
        <rFont val="宋体"/>
        <family val="2"/>
        <scheme val="minor"/>
      </rPr>
      <t>15%</t>
    </r>
    <r>
      <rPr>
        <sz val="11"/>
        <color theme="1"/>
        <rFont val="宋体"/>
        <family val="2"/>
        <scheme val="minor"/>
      </rPr>
      <t>)</t>
    </r>
    <phoneticPr fontId="5" type="noConversion"/>
  </si>
  <si>
    <r>
      <t>治疗亲和(提升受到的治疗效果30%</t>
    </r>
    <r>
      <rPr>
        <sz val="11"/>
        <color theme="1"/>
        <rFont val="宋体"/>
        <family val="2"/>
        <scheme val="minor"/>
      </rPr>
      <t>)</t>
    </r>
    <phoneticPr fontId="5" type="noConversion"/>
  </si>
  <si>
    <t>狂暴后移动速度提升50%</t>
    <phoneticPr fontId="5" type="noConversion"/>
  </si>
  <si>
    <t>血量低于50%时，会蓄力1.5S，而后获得狂暴BUFF，攻速提升50%</t>
    <phoneticPr fontId="5" type="noConversion"/>
  </si>
  <si>
    <t>狂暴僵直时无敌</t>
    <phoneticPr fontId="5" type="noConversion"/>
  </si>
  <si>
    <t>狂暴时攻击吸血(25%)</t>
    <phoneticPr fontId="5" type="noConversion"/>
  </si>
  <si>
    <t>攻击次数越多，炮管越红，伤害越高。(每次提升10%,可叠加5层，2S削一层)</t>
    <phoneticPr fontId="5" type="noConversion"/>
  </si>
  <si>
    <t>战吼，冲锋，提升移动速度(50%)，在首次攻击后消失</t>
    <phoneticPr fontId="5" type="noConversion"/>
  </si>
  <si>
    <t>首次攻击晕人2S</t>
    <phoneticPr fontId="5" type="noConversion"/>
  </si>
  <si>
    <t>移动速度变为1</t>
    <phoneticPr fontId="5" type="noConversion"/>
  </si>
  <si>
    <r>
      <t>坠毁后留毒圈,伤害系数为</t>
    </r>
    <r>
      <rPr>
        <sz val="11"/>
        <color theme="1"/>
        <rFont val="宋体"/>
        <family val="2"/>
        <scheme val="minor"/>
      </rPr>
      <t>0.5,4码,持续3秒</t>
    </r>
    <phoneticPr fontId="5" type="noConversion"/>
  </si>
  <si>
    <t>巨熊之怒(受到攻击5次后被激怒，攻速提升30%，持续5S，再次触发时间刷新)</t>
    <phoneticPr fontId="5" type="noConversion"/>
  </si>
  <si>
    <t>普攻为范围攻击</t>
    <phoneticPr fontId="5" type="noConversion"/>
  </si>
  <si>
    <t>带上头盔(开场护盾，生命值的10%，打掉头盔掉落,头盔不掉落时，本体不会受伤)</t>
    <phoneticPr fontId="5" type="noConversion"/>
  </si>
  <si>
    <t>第3下范围击晕</t>
    <phoneticPr fontId="5" type="noConversion"/>
  </si>
  <si>
    <r>
      <t>攻击带毒，毒减速(普攻变为原先的</t>
    </r>
    <r>
      <rPr>
        <sz val="11"/>
        <color theme="1"/>
        <rFont val="宋体"/>
        <family val="2"/>
        <scheme val="minor"/>
      </rPr>
      <t>60%，毒为原先的50%,减速30%,持续3秒)</t>
    </r>
    <phoneticPr fontId="5" type="noConversion"/>
  </si>
  <si>
    <t>绝望祷言(战吼，对周围生命值百分比最低的单位进行治疗，治疗系数为2)</t>
    <phoneticPr fontId="5" type="noConversion"/>
  </si>
  <si>
    <t>对空军变成近战攻击，伤害很高</t>
    <phoneticPr fontId="5" type="noConversion"/>
  </si>
  <si>
    <t>英勇的</t>
    <phoneticPr fontId="5" type="noConversion"/>
  </si>
  <si>
    <r>
      <t>队友+</t>
    </r>
    <r>
      <rPr>
        <sz val="11"/>
        <color theme="1"/>
        <rFont val="宋体"/>
        <family val="2"/>
        <scheme val="minor"/>
      </rPr>
      <t>1，+1费</t>
    </r>
    <phoneticPr fontId="5" type="noConversion"/>
  </si>
  <si>
    <t>第三次普攻改为吹风，伤害系数1.3</t>
    <phoneticPr fontId="5" type="noConversion"/>
  </si>
  <si>
    <t>对射手攻击有一定几率闪避攻击(25%)</t>
    <phoneticPr fontId="5" type="noConversion"/>
  </si>
  <si>
    <t>对血量低于25%的单位必然暴击(150%伤害)</t>
    <phoneticPr fontId="5" type="noConversion"/>
  </si>
  <si>
    <r>
      <t>第三下攻击回复生命(</t>
    </r>
    <r>
      <rPr>
        <sz val="11"/>
        <color theme="1"/>
        <rFont val="宋体"/>
        <family val="2"/>
        <scheme val="minor"/>
      </rPr>
      <t>10%,3S)</t>
    </r>
    <phoneticPr fontId="5" type="noConversion"/>
  </si>
  <si>
    <t>大招还可造成伤害，伤害为治疗量的30%</t>
    <phoneticPr fontId="5" type="noConversion"/>
  </si>
  <si>
    <t>主动技能：对一个小型区域造成伤害</t>
    <phoneticPr fontId="5" type="noConversion"/>
  </si>
  <si>
    <t>大招可使单位眩晕</t>
    <phoneticPr fontId="5" type="noConversion"/>
  </si>
  <si>
    <t>第三次普攻加眩晕1S</t>
    <phoneticPr fontId="5" type="noConversion"/>
  </si>
  <si>
    <t>多重影分身(+1费，出4个分身,分身攻击和血量有略微降低)</t>
    <phoneticPr fontId="5" type="noConversion"/>
  </si>
  <si>
    <t>分身血量提升</t>
    <phoneticPr fontId="5" type="noConversion"/>
  </si>
  <si>
    <t>自动技能：使目标移动速度减少50%，持续5S，5S CD</t>
    <phoneticPr fontId="5" type="noConversion"/>
  </si>
  <si>
    <t>减速同时减攻速35%</t>
    <phoneticPr fontId="5" type="noConversion"/>
  </si>
  <si>
    <t>攻击溅射（普攻伤害变为原先的75%，2.5码范围内，伤害为25%），冰冻也溅射</t>
    <phoneticPr fontId="5" type="noConversion"/>
  </si>
  <si>
    <t>魅惑效果可叠加，最高5层</t>
    <phoneticPr fontId="5" type="noConversion"/>
  </si>
  <si>
    <t>普攻附带魅惑效果，使目标单位移速和攻速降低10%，持续2S</t>
    <phoneticPr fontId="5" type="noConversion"/>
  </si>
  <si>
    <t>魅惑效果到5层时，敌方单位叛变</t>
    <phoneticPr fontId="5" type="noConversion"/>
  </si>
  <si>
    <t>快速魅惑，魅惑效果到3层时，敌方单位叛变</t>
    <phoneticPr fontId="5" type="noConversion"/>
  </si>
  <si>
    <t>给一个治疗技能，攻击系数为1.2，CD 6S</t>
    <phoneticPr fontId="5" type="noConversion"/>
  </si>
  <si>
    <t>概率暴击(30%,150%)</t>
    <phoneticPr fontId="5" type="noConversion"/>
  </si>
  <si>
    <t>千金一掷(第3次攻击,扔出一大把宝石，锥形范围收到伤害,系数1.3)</t>
    <phoneticPr fontId="5" type="noConversion"/>
  </si>
  <si>
    <t>第3次攻击时，攻击溅射(2.5码范围内，伤害为50%)</t>
    <phoneticPr fontId="5" type="noConversion"/>
  </si>
  <si>
    <t>宝石护盾(释放千金一掷时，可吸收20%最大生命的伤害，护盾存在时免疫控制)</t>
    <phoneticPr fontId="5" type="noConversion"/>
  </si>
  <si>
    <r>
      <t>自动技能(招一个猫，CD 5S</t>
    </r>
    <r>
      <rPr>
        <sz val="11"/>
        <color theme="1"/>
        <rFont val="宋体"/>
        <family val="2"/>
        <scheme val="minor"/>
      </rPr>
      <t>)</t>
    </r>
    <phoneticPr fontId="5" type="noConversion"/>
  </si>
  <si>
    <t>死后会自爆</t>
    <phoneticPr fontId="5" type="noConversion"/>
  </si>
  <si>
    <t>自爆后上中毒dot(毒伤害为原先的40%，持续4S)</t>
    <phoneticPr fontId="5" type="noConversion"/>
  </si>
  <si>
    <t>喵喵吞噬(当生命值小于35%时，吞噬喵守卫，吸收喵守卫的生命，可使用3次)</t>
    <phoneticPr fontId="5" type="noConversion"/>
  </si>
  <si>
    <t>招猫强化，主动技能多招1个猫</t>
    <phoneticPr fontId="5" type="noConversion"/>
  </si>
  <si>
    <t>好身法(对远程攻击有一定25%的几率闪避)</t>
    <phoneticPr fontId="5" type="noConversion"/>
  </si>
  <si>
    <t>释放技能后攻速提升35%</t>
    <phoneticPr fontId="5" type="noConversion"/>
  </si>
  <si>
    <t>死亡后，会留下一个炸弹，在1秒后爆炸</t>
    <phoneticPr fontId="5" type="noConversion"/>
  </si>
  <si>
    <t>执着的</t>
    <phoneticPr fontId="5" type="noConversion"/>
  </si>
  <si>
    <t>普通的</t>
    <phoneticPr fontId="5" type="noConversion"/>
  </si>
  <si>
    <t>会吞噬一个小于等于5费的单位（优先高费），大嘴死后吞噬的单位解放</t>
    <phoneticPr fontId="5" type="noConversion"/>
  </si>
  <si>
    <t>战吼，周围单位击晕1秒</t>
    <phoneticPr fontId="5" type="noConversion"/>
  </si>
  <si>
    <t>击晕伤害提升30%</t>
    <phoneticPr fontId="5" type="noConversion"/>
  </si>
  <si>
    <t>攻击的第3下会使目标眩晕2S</t>
    <phoneticPr fontId="5" type="noConversion"/>
  </si>
  <si>
    <t>击晕伤害再提升30%</t>
    <phoneticPr fontId="5" type="noConversion"/>
  </si>
  <si>
    <t>移动速度提升到1</t>
    <phoneticPr fontId="5" type="noConversion"/>
  </si>
  <si>
    <t>死后会生出武士亡魂，不能移动，无敌，持续4S</t>
    <phoneticPr fontId="5" type="noConversion"/>
  </si>
  <si>
    <t>武士亡魂持续时间增长到6S</t>
    <phoneticPr fontId="5" type="noConversion"/>
  </si>
  <si>
    <t>武士护甲，樱花武士获得15%的护甲</t>
    <phoneticPr fontId="5" type="noConversion"/>
  </si>
  <si>
    <t>自动技能：给目标施加一个buff，持续5秒，如果期间单位被杀，死后会出黑肥肥,6S的CD</t>
    <phoneticPr fontId="5" type="noConversion"/>
  </si>
  <si>
    <t>种子持续时间增长到10S</t>
    <phoneticPr fontId="5" type="noConversion"/>
  </si>
  <si>
    <t>释放大招后，会为自己增加一个护盾(自身生命的10%)</t>
    <phoneticPr fontId="5" type="noConversion"/>
  </si>
  <si>
    <t>大招有伤害(系数为0.5)</t>
    <phoneticPr fontId="5" type="noConversion"/>
  </si>
  <si>
    <t>大招范围增加</t>
    <phoneticPr fontId="5" type="noConversion"/>
  </si>
  <si>
    <t>大招CD缩减30%</t>
    <phoneticPr fontId="5" type="noConversion"/>
  </si>
  <si>
    <t>大招的伤害35%转化为治疗</t>
    <phoneticPr fontId="5" type="noConversion"/>
  </si>
  <si>
    <t>大招的伤害70%转化为治疗</t>
    <phoneticPr fontId="5" type="noConversion"/>
  </si>
  <si>
    <t>普攻概率暴击(30%,150%)</t>
    <phoneticPr fontId="5" type="noConversion"/>
  </si>
  <si>
    <t>主动技能：大招会提升攻速50%，持续5S，大招伤害系数为2</t>
    <phoneticPr fontId="5" type="noConversion"/>
  </si>
  <si>
    <t>大招伤害提升(提升为3)</t>
    <phoneticPr fontId="5" type="noConversion"/>
  </si>
  <si>
    <t>增加护甲15%</t>
    <phoneticPr fontId="5" type="noConversion"/>
  </si>
  <si>
    <t>出场给周围单位施加护盾(相当于标准攻击)</t>
    <phoneticPr fontId="5" type="noConversion"/>
  </si>
  <si>
    <t>死后会出一个小大嘴</t>
    <phoneticPr fontId="5" type="noConversion"/>
  </si>
  <si>
    <t>攻城提升(25%)</t>
    <phoneticPr fontId="5" type="noConversion"/>
  </si>
  <si>
    <t>血少于30%，攻速提升50%</t>
    <phoneticPr fontId="5" type="noConversion"/>
  </si>
  <si>
    <t>死后会分裂两个小炎魔，小炎魔又会分裂两个更小的炎魔</t>
    <phoneticPr fontId="5" type="noConversion"/>
  </si>
  <si>
    <t>普攻可使敌方减速30%</t>
    <phoneticPr fontId="5" type="noConversion"/>
  </si>
  <si>
    <t>移动速度提升到1</t>
    <phoneticPr fontId="5" type="noConversion"/>
  </si>
  <si>
    <t>自动技能，火焰诅咒，对目标施加dot，死亡后出个小炎魔</t>
    <phoneticPr fontId="5" type="noConversion"/>
  </si>
  <si>
    <t>变为远程攻击</t>
    <phoneticPr fontId="5" type="noConversion"/>
  </si>
  <si>
    <t>护甲提升15%</t>
    <phoneticPr fontId="5" type="noConversion"/>
  </si>
  <si>
    <t>攻击变为范围攻击</t>
    <phoneticPr fontId="5" type="noConversion"/>
  </si>
  <si>
    <t>普攻距离增加</t>
    <phoneticPr fontId="5" type="noConversion"/>
  </si>
  <si>
    <t>大招范围增大</t>
    <phoneticPr fontId="5" type="noConversion"/>
  </si>
  <si>
    <t>种子有伤害（2倍标准伤害）</t>
    <phoneticPr fontId="5" type="noConversion"/>
  </si>
  <si>
    <t>主动技能：治疗之环，范围内回复生命</t>
    <phoneticPr fontId="5" type="noConversion"/>
  </si>
  <si>
    <t>货币</t>
    <phoneticPr fontId="14" type="noConversion"/>
  </si>
  <si>
    <t>小大嘴攻击力提升35%</t>
    <phoneticPr fontId="5" type="noConversion"/>
  </si>
  <si>
    <t>索敌范围</t>
    <phoneticPr fontId="5" type="noConversion"/>
  </si>
  <si>
    <t>高费战士</t>
    <phoneticPr fontId="5" type="noConversion"/>
  </si>
  <si>
    <t>攻城车</t>
    <phoneticPr fontId="5" type="noConversion"/>
  </si>
  <si>
    <t>法师型AOE英雄</t>
    <phoneticPr fontId="5" type="noConversion"/>
  </si>
  <si>
    <t>近战慢速战士，克制暴风步兵等进展T，惧怕各种远程</t>
    <phoneticPr fontId="5" type="noConversion"/>
  </si>
  <si>
    <t>远程强力输出，可对空，可攻城</t>
    <phoneticPr fontId="5" type="noConversion"/>
  </si>
  <si>
    <t>清兵英雄，游侠</t>
    <phoneticPr fontId="5" type="noConversion"/>
  </si>
  <si>
    <t>提升15%的攻速</t>
    <phoneticPr fontId="5" type="noConversion"/>
  </si>
  <si>
    <t>对同一目标攻击攻速递增(每次提升10%,可叠加5层)</t>
    <phoneticPr fontId="5" type="noConversion"/>
  </si>
  <si>
    <t>拥有15%的攻击吸血</t>
    <phoneticPr fontId="5" type="noConversion"/>
  </si>
  <si>
    <t>肥肥蛮兵</t>
    <phoneticPr fontId="5" type="noConversion"/>
  </si>
  <si>
    <t>魔导师</t>
    <phoneticPr fontId="5" type="noConversion"/>
  </si>
  <si>
    <t>火法师</t>
    <phoneticPr fontId="5" type="noConversion"/>
  </si>
  <si>
    <t>狼法师</t>
    <phoneticPr fontId="5" type="noConversion"/>
  </si>
  <si>
    <t>城堡</t>
    <phoneticPr fontId="5" type="noConversion"/>
  </si>
  <si>
    <t>盖亚</t>
    <phoneticPr fontId="5" type="noConversion"/>
  </si>
  <si>
    <t>普攻则是治疗我方单位</t>
    <phoneticPr fontId="5" type="noConversion"/>
  </si>
  <si>
    <r>
      <t>治疗会给友方增加1</t>
    </r>
    <r>
      <rPr>
        <sz val="11"/>
        <color theme="1"/>
        <rFont val="宋体"/>
        <family val="2"/>
        <scheme val="minor"/>
      </rPr>
      <t>5%的护甲</t>
    </r>
    <phoneticPr fontId="5" type="noConversion"/>
  </si>
  <si>
    <r>
      <t>治疗提供3</t>
    </r>
    <r>
      <rPr>
        <sz val="11"/>
        <color theme="1"/>
        <rFont val="宋体"/>
        <family val="2"/>
        <scheme val="minor"/>
      </rPr>
      <t>0%的护盾，持续3秒</t>
    </r>
    <phoneticPr fontId="5" type="noConversion"/>
  </si>
  <si>
    <t>治疗友军时同时治疗自身，0.3的系数</t>
    <phoneticPr fontId="5" type="noConversion"/>
  </si>
  <si>
    <t>亡语，恢复1点水晶</t>
    <phoneticPr fontId="5" type="noConversion"/>
  </si>
  <si>
    <t>5费治疗，盖亚族</t>
    <phoneticPr fontId="5" type="noConversion"/>
  </si>
  <si>
    <t>3费战士</t>
    <phoneticPr fontId="5" type="noConversion"/>
  </si>
  <si>
    <r>
      <t>拥有1</t>
    </r>
    <r>
      <rPr>
        <sz val="11"/>
        <color theme="1"/>
        <rFont val="宋体"/>
        <family val="2"/>
        <scheme val="minor"/>
      </rPr>
      <t>5%的护甲</t>
    </r>
    <phoneticPr fontId="5" type="noConversion"/>
  </si>
  <si>
    <r>
      <t>玄月斩，第3次攻击为范围攻击，系数</t>
    </r>
    <r>
      <rPr>
        <sz val="11"/>
        <color theme="1"/>
        <rFont val="宋体"/>
        <family val="2"/>
        <scheme val="minor"/>
      </rPr>
      <t>1.3</t>
    </r>
    <phoneticPr fontId="5" type="noConversion"/>
  </si>
  <si>
    <r>
      <t>战吼，提升攻速移速3</t>
    </r>
    <r>
      <rPr>
        <sz val="11"/>
        <color theme="1"/>
        <rFont val="宋体"/>
        <family val="2"/>
        <scheme val="minor"/>
      </rPr>
      <t>0%，持续5</t>
    </r>
    <phoneticPr fontId="5" type="noConversion"/>
  </si>
  <si>
    <r>
      <t>恃强凌弱，对血量比自己低的单位造成额外3</t>
    </r>
    <r>
      <rPr>
        <sz val="11"/>
        <color theme="1"/>
        <rFont val="宋体"/>
        <family val="2"/>
        <scheme val="minor"/>
      </rPr>
      <t>0%的伤害</t>
    </r>
    <phoneticPr fontId="5" type="noConversion"/>
  </si>
  <si>
    <t>普通的</t>
    <phoneticPr fontId="5" type="noConversion"/>
  </si>
  <si>
    <t>镜像术(战吼：随机1名友军英雄制造镜像，血量为1)</t>
    <phoneticPr fontId="5" type="noConversion"/>
  </si>
  <si>
    <t>增强镜像术(战吼：随机2名友军英雄制造镜像，血量为1)</t>
    <phoneticPr fontId="5" type="noConversion"/>
  </si>
  <si>
    <t>减速技能缩短到3秒，粉红女巫会优先对攻击范围内没有被减速的单位释放减速</t>
    <phoneticPr fontId="5" type="noConversion"/>
  </si>
  <si>
    <t>普攻改为奥术飞弹</t>
    <phoneticPr fontId="5" type="noConversion"/>
  </si>
  <si>
    <r>
      <t>当血量低于3</t>
    </r>
    <r>
      <rPr>
        <sz val="11"/>
        <color theme="1"/>
        <rFont val="宋体"/>
        <family val="2"/>
        <scheme val="minor"/>
      </rPr>
      <t>0%时向后闪现</t>
    </r>
    <phoneticPr fontId="5" type="noConversion"/>
  </si>
  <si>
    <t>向后闪现前进行奥爆</t>
    <phoneticPr fontId="5" type="noConversion"/>
  </si>
  <si>
    <t>4费法师，控制，输出</t>
    <phoneticPr fontId="5" type="noConversion"/>
  </si>
  <si>
    <t>战吼，把范围内费用最高且低于6费用的单位变羊,范围为6码，变羊持续4秒</t>
    <phoneticPr fontId="5" type="noConversion"/>
  </si>
  <si>
    <t>缇娜婀妤</t>
    <phoneticPr fontId="5" type="noConversion"/>
  </si>
  <si>
    <t>5费，类似妖姬，法师刺客</t>
    <phoneticPr fontId="5" type="noConversion"/>
  </si>
  <si>
    <t>当缇娜婀妤杀死一个单位后，技能冷却重置</t>
    <phoneticPr fontId="5" type="noConversion"/>
  </si>
  <si>
    <r>
      <t>奥术光辉，周围法师攻击力提升1</t>
    </r>
    <r>
      <rPr>
        <sz val="11"/>
        <color theme="1"/>
        <rFont val="宋体"/>
        <family val="2"/>
        <scheme val="minor"/>
      </rPr>
      <t>0%</t>
    </r>
    <phoneticPr fontId="5" type="noConversion"/>
  </si>
  <si>
    <t>自动技能:灵魂锁链，把一个敌方锁住，使其不能移动，缇娜婀妤对其伤害提升50%。效果持续3秒，10秒CD</t>
    <phoneticPr fontId="5" type="noConversion"/>
  </si>
  <si>
    <t>当灵魂锁链将要结束时，缇娜婀妤将会闪现过去，对周围3码范围敌方单位造成伤害，而后闪现回来</t>
    <phoneticPr fontId="5" type="noConversion"/>
  </si>
  <si>
    <t>当缇娜婀妤杀死一个单位后，恢复生命50%</t>
    <phoneticPr fontId="5" type="noConversion"/>
  </si>
  <si>
    <t>杀人后恢复生命(35%)</t>
    <phoneticPr fontId="5" type="noConversion"/>
  </si>
  <si>
    <t>英勇的</t>
    <phoneticPr fontId="5" type="noConversion"/>
  </si>
  <si>
    <t>执着的</t>
    <phoneticPr fontId="5" type="noConversion"/>
  </si>
  <si>
    <t>战吼，复活一个6费以下的友方随从</t>
    <phoneticPr fontId="5" type="noConversion"/>
  </si>
  <si>
    <r>
      <t>周围单位吸血提升(</t>
    </r>
    <r>
      <rPr>
        <sz val="11"/>
        <color theme="1"/>
        <rFont val="宋体"/>
        <family val="2"/>
        <scheme val="minor"/>
      </rPr>
      <t>10%)</t>
    </r>
    <phoneticPr fontId="5" type="noConversion"/>
  </si>
  <si>
    <t>亡语：死后召唤一只2费的小狼</t>
    <phoneticPr fontId="5" type="noConversion"/>
  </si>
  <si>
    <r>
      <t>强化贪狼祝福（贪狼祝福C</t>
    </r>
    <r>
      <rPr>
        <sz val="11"/>
        <color theme="1"/>
        <rFont val="宋体"/>
        <family val="2"/>
        <scheme val="minor"/>
      </rPr>
      <t>D变为5S</t>
    </r>
    <r>
      <rPr>
        <sz val="11"/>
        <color theme="1"/>
        <rFont val="宋体"/>
        <family val="2"/>
        <scheme val="minor"/>
      </rPr>
      <t>）</t>
    </r>
    <phoneticPr fontId="5" type="noConversion"/>
  </si>
  <si>
    <t>自动技能，贪狼祝福(为友军提升攻速40%，持续5S，10SCD)</t>
    <phoneticPr fontId="5" type="noConversion"/>
  </si>
  <si>
    <t>攻城提升</t>
    <phoneticPr fontId="5" type="noConversion"/>
  </si>
  <si>
    <t>对射手伤害减免25%</t>
    <phoneticPr fontId="5" type="noConversion"/>
  </si>
  <si>
    <t>对法师伤害减免25%</t>
    <phoneticPr fontId="5" type="noConversion"/>
  </si>
  <si>
    <t>免疫英雄技能</t>
    <phoneticPr fontId="5" type="noConversion"/>
  </si>
  <si>
    <t>7费攻城车</t>
    <phoneticPr fontId="5" type="noConversion"/>
  </si>
  <si>
    <t>5费，萨满</t>
    <phoneticPr fontId="5" type="noConversion"/>
  </si>
  <si>
    <t>中立族</t>
    <phoneticPr fontId="5" type="noConversion"/>
  </si>
  <si>
    <t>盖亚族</t>
    <phoneticPr fontId="5" type="noConversion"/>
  </si>
  <si>
    <t>泰坦族</t>
    <phoneticPr fontId="5" type="noConversion"/>
  </si>
  <si>
    <t>飞矛手</t>
    <phoneticPr fontId="5" type="noConversion"/>
  </si>
  <si>
    <t>暴风步兵</t>
    <phoneticPr fontId="5" type="noConversion"/>
  </si>
  <si>
    <t>小花</t>
    <phoneticPr fontId="5" type="noConversion"/>
  </si>
  <si>
    <t>斯巴达</t>
    <phoneticPr fontId="5" type="noConversion"/>
  </si>
  <si>
    <t>骑士</t>
    <phoneticPr fontId="5" type="noConversion"/>
  </si>
  <si>
    <t>铠甲熊</t>
    <phoneticPr fontId="5" type="noConversion"/>
  </si>
  <si>
    <t>鹰身人</t>
    <phoneticPr fontId="5" type="noConversion"/>
  </si>
  <si>
    <t>飞斧泰坦</t>
    <phoneticPr fontId="5" type="noConversion"/>
  </si>
  <si>
    <t>守护泰坦</t>
    <phoneticPr fontId="5" type="noConversion"/>
  </si>
  <si>
    <t>粉红女巫</t>
    <phoneticPr fontId="5" type="noConversion"/>
  </si>
  <si>
    <t>雪人</t>
    <phoneticPr fontId="5" type="noConversion"/>
  </si>
  <si>
    <t>樱花武士</t>
    <phoneticPr fontId="5" type="noConversion"/>
  </si>
  <si>
    <t>蓝电法师</t>
    <phoneticPr fontId="5" type="noConversion"/>
  </si>
  <si>
    <t>古尔丹</t>
    <phoneticPr fontId="5" type="noConversion"/>
  </si>
  <si>
    <t>酒桶</t>
    <phoneticPr fontId="5" type="noConversion"/>
  </si>
  <si>
    <t>大嘴巨人</t>
    <phoneticPr fontId="5" type="noConversion"/>
  </si>
  <si>
    <t>狂暴巨人</t>
    <phoneticPr fontId="5" type="noConversion"/>
  </si>
  <si>
    <t>死神</t>
    <phoneticPr fontId="5" type="noConversion"/>
  </si>
  <si>
    <t>蛮族肥肥</t>
    <phoneticPr fontId="5" type="noConversion"/>
  </si>
  <si>
    <t>献祭（周围单位受到少量伤害）</t>
  </si>
  <si>
    <t>亡语：对周围敌军造成伤害</t>
    <phoneticPr fontId="5" type="noConversion"/>
  </si>
  <si>
    <t>盖娅</t>
    <phoneticPr fontId="5" type="noConversion"/>
  </si>
  <si>
    <t>英勇的</t>
    <phoneticPr fontId="5" type="noConversion"/>
  </si>
  <si>
    <t>喵守卫(2费战)</t>
    <phoneticPr fontId="5" type="noConversion"/>
  </si>
  <si>
    <t>小炮(4费射手)</t>
    <phoneticPr fontId="5" type="noConversion"/>
  </si>
  <si>
    <r>
      <t>投棘者(</t>
    </r>
    <r>
      <rPr>
        <sz val="11"/>
        <color theme="1"/>
        <rFont val="宋体"/>
        <family val="2"/>
        <scheme val="minor"/>
      </rPr>
      <t>5费空军)</t>
    </r>
    <phoneticPr fontId="5" type="noConversion"/>
  </si>
  <si>
    <t>移动速度增加到1</t>
    <phoneticPr fontId="5" type="noConversion"/>
  </si>
  <si>
    <r>
      <t>小鹿(</t>
    </r>
    <r>
      <rPr>
        <sz val="11"/>
        <color theme="1"/>
        <rFont val="宋体"/>
        <family val="2"/>
        <scheme val="minor"/>
      </rPr>
      <t>3费治疗)</t>
    </r>
    <phoneticPr fontId="5" type="noConversion"/>
  </si>
  <si>
    <t>空投者（英勇的空军，可炸后排）</t>
    <phoneticPr fontId="5" type="noConversion"/>
  </si>
  <si>
    <t>鲁莽的（优先后排）</t>
    <phoneticPr fontId="5" type="noConversion"/>
  </si>
  <si>
    <t>忍者（切后排刺客）</t>
    <phoneticPr fontId="5" type="noConversion"/>
  </si>
  <si>
    <t>魅魔(干扰性法师)</t>
    <phoneticPr fontId="5" type="noConversion"/>
  </si>
  <si>
    <t>宝石法师(AOE输出法师)</t>
    <phoneticPr fontId="5" type="noConversion"/>
  </si>
  <si>
    <t>小树妖(自爆兵)</t>
    <phoneticPr fontId="5" type="noConversion"/>
  </si>
  <si>
    <t>死神(召唤亡灵法师)</t>
    <phoneticPr fontId="5" type="noConversion"/>
  </si>
  <si>
    <t>普攻附带dot,杀死单位后召唤2个骷髅</t>
    <phoneticPr fontId="5" type="noConversion"/>
  </si>
  <si>
    <t>城堡(地面攻城单位)</t>
    <phoneticPr fontId="5" type="noConversion"/>
  </si>
  <si>
    <t>左护法(4费游侠)</t>
    <phoneticPr fontId="5" type="noConversion"/>
  </si>
  <si>
    <t>右护法（5费近战AOE）</t>
    <phoneticPr fontId="5" type="noConversion"/>
  </si>
  <si>
    <t>火焰领主(10费BOSS型战士)</t>
    <phoneticPr fontId="5" type="noConversion"/>
  </si>
  <si>
    <t>力士(残血狂暴)</t>
    <phoneticPr fontId="5" type="noConversion"/>
  </si>
  <si>
    <t>第三次攻击附带弹射，每次衰减50%的伤害，弹射2次</t>
    <phoneticPr fontId="5" type="noConversion"/>
  </si>
  <si>
    <t>当生命值低于20%时，静止，快速恢复生命</t>
    <phoneticPr fontId="5" type="noConversion"/>
  </si>
  <si>
    <t>移动速度变为2.5</t>
    <phoneticPr fontId="5" type="noConversion"/>
  </si>
  <si>
    <t>1突(20%)</t>
    <phoneticPr fontId="5" type="noConversion"/>
  </si>
  <si>
    <t>2突(20%)</t>
    <phoneticPr fontId="5" type="noConversion"/>
  </si>
  <si>
    <t>3突(20%)</t>
    <phoneticPr fontId="5" type="noConversion"/>
  </si>
  <si>
    <t>4突(20%)</t>
    <phoneticPr fontId="5" type="noConversion"/>
  </si>
  <si>
    <t>带毒(普攻的35%,3秒)</t>
    <phoneticPr fontId="5" type="noConversion"/>
  </si>
  <si>
    <t>每3次攻击，三连击，系数0.5</t>
    <phoneticPr fontId="5" type="noConversion"/>
  </si>
  <si>
    <t>攻速提升20%</t>
    <phoneticPr fontId="5" type="noConversion"/>
  </si>
  <si>
    <t>战吼，把周围单位聚拢</t>
    <phoneticPr fontId="5" type="noConversion"/>
  </si>
  <si>
    <r>
      <t>辅助型卡牌，增强A</t>
    </r>
    <r>
      <rPr>
        <sz val="11"/>
        <color theme="1"/>
        <rFont val="宋体"/>
        <family val="2"/>
        <scheme val="minor"/>
      </rPr>
      <t>OE单位的效果</t>
    </r>
    <phoneticPr fontId="5" type="noConversion"/>
  </si>
  <si>
    <t>开场嘲讽</t>
    <phoneticPr fontId="5" type="noConversion"/>
  </si>
  <si>
    <t>AOE攻击</t>
    <phoneticPr fontId="5" type="noConversion"/>
  </si>
  <si>
    <t>群防</t>
    <phoneticPr fontId="5" type="noConversion"/>
  </si>
  <si>
    <t>群攻</t>
    <phoneticPr fontId="5" type="noConversion"/>
  </si>
  <si>
    <t>群补</t>
    <phoneticPr fontId="5" type="noConversion"/>
  </si>
  <si>
    <t>治疗守卫和主角</t>
    <phoneticPr fontId="5" type="noConversion"/>
  </si>
  <si>
    <t>烈焰风暴</t>
    <phoneticPr fontId="5" type="noConversion"/>
  </si>
  <si>
    <t>暴风雪</t>
    <phoneticPr fontId="5" type="noConversion"/>
  </si>
  <si>
    <t>龙卷风</t>
    <phoneticPr fontId="5" type="noConversion"/>
  </si>
  <si>
    <t>群速</t>
    <phoneticPr fontId="5" type="noConversion"/>
  </si>
  <si>
    <t>守卫和主角无敌</t>
    <phoneticPr fontId="5" type="noConversion"/>
  </si>
  <si>
    <t>治疗守卫</t>
    <phoneticPr fontId="5" type="noConversion"/>
  </si>
  <si>
    <t>静置陷阱</t>
    <phoneticPr fontId="5" type="noConversion"/>
  </si>
  <si>
    <t>毒蛇守卫</t>
    <phoneticPr fontId="5" type="noConversion"/>
  </si>
  <si>
    <t>吹风</t>
    <phoneticPr fontId="5" type="noConversion"/>
  </si>
  <si>
    <t>冰霜新星</t>
    <phoneticPr fontId="5" type="noConversion"/>
  </si>
  <si>
    <t>火球术</t>
    <phoneticPr fontId="5" type="noConversion"/>
  </si>
  <si>
    <t>陨石术</t>
    <phoneticPr fontId="5" type="noConversion"/>
  </si>
  <si>
    <t>熔岩沟壑</t>
    <phoneticPr fontId="5" type="noConversion"/>
  </si>
  <si>
    <t>地狱火</t>
    <phoneticPr fontId="5" type="noConversion"/>
  </si>
  <si>
    <t>传送门</t>
    <phoneticPr fontId="5" type="noConversion"/>
  </si>
  <si>
    <t>刺蛇守卫</t>
    <phoneticPr fontId="5" type="noConversion"/>
  </si>
  <si>
    <t>品质</t>
    <phoneticPr fontId="5" type="noConversion"/>
  </si>
  <si>
    <t>技能简介</t>
    <phoneticPr fontId="5" type="noConversion"/>
  </si>
  <si>
    <t>放置一个治疗守卫，在10S内为周围单位回复250点生命</t>
    <phoneticPr fontId="5" type="noConversion"/>
  </si>
  <si>
    <t>对范围内单位造成150点伤害</t>
    <phoneticPr fontId="5" type="noConversion"/>
  </si>
  <si>
    <t>守卫和主角无敌，持续(4,4.5,5,5.5,6)S</t>
    <phoneticPr fontId="5" type="noConversion"/>
  </si>
  <si>
    <t>对范围内单位造成100点伤害，并眩晕3秒</t>
    <phoneticPr fontId="5" type="noConversion"/>
  </si>
  <si>
    <t>位主角和守卫分别回复150/100点生命</t>
    <phoneticPr fontId="5" type="noConversion"/>
  </si>
  <si>
    <t>在可放置区域建立一个传送没，可以直接在其旁边放置部队，持续(15,20,25,30,40)秒</t>
    <phoneticPr fontId="5" type="noConversion"/>
  </si>
  <si>
    <t>放置一个人刺蛇守卫(长条矩形范围攻击)，会持续对周围单位造成攻击，持续10S</t>
    <phoneticPr fontId="5" type="noConversion"/>
  </si>
  <si>
    <t>对圆形范围内单位造成120点伤害，并使移速降低40%，持续3.5秒</t>
    <phoneticPr fontId="5" type="noConversion"/>
  </si>
  <si>
    <t>召唤一个法阵，2秒后法阵喷射出火焰，对范围内单位每秒造成200点伤害(对守卫伤害减半)，不分敌我，持续3秒</t>
    <phoneticPr fontId="5" type="noConversion"/>
  </si>
  <si>
    <t>把5.5码范围内单位吸进漩涡，每0.5秒造成15点伤害，持续3秒</t>
    <phoneticPr fontId="5" type="noConversion"/>
  </si>
  <si>
    <t>在大范围圆形区域召唤暴风雪，每秒落一次，一共落6次，每次造成50点伤害，并减速40%，持续3S</t>
    <phoneticPr fontId="5" type="noConversion"/>
  </si>
  <si>
    <t>划出一道熔岩沟壑，在沟壑内的单位(不分敌我)，每0.5秒受到100点伤害，持续3秒</t>
    <phoneticPr fontId="5" type="noConversion"/>
  </si>
  <si>
    <t>牺牲主角200点生命，在可放置区域召唤一个5费的地狱火守卫，对范围内单位造成50点伤害。地狱火守卫会献祭周围单位，每秒燃烧30点伤害，不分敌我</t>
    <phoneticPr fontId="5" type="noConversion"/>
  </si>
  <si>
    <t>邪能吞噬</t>
    <phoneticPr fontId="5" type="noConversion"/>
  </si>
  <si>
    <t>牺牲范围内友军，返还所有费用，吞噬的总生命的10%治疗防御塔，最多返还6,7,8,9,10费</t>
    <phoneticPr fontId="5" type="noConversion"/>
  </si>
  <si>
    <r>
      <t>把范围内所有单位吹起，不能受到攻击，持续6</t>
    </r>
    <r>
      <rPr>
        <sz val="11"/>
        <color theme="1"/>
        <rFont val="宋体"/>
        <family val="2"/>
        <scheme val="minor"/>
      </rPr>
      <t>,7,8,9,10</t>
    </r>
    <r>
      <rPr>
        <sz val="11"/>
        <color theme="1"/>
        <rFont val="宋体"/>
        <family val="2"/>
        <scheme val="minor"/>
      </rPr>
      <t>S</t>
    </r>
    <phoneticPr fontId="5" type="noConversion"/>
  </si>
  <si>
    <t>妖术</t>
    <phoneticPr fontId="5" type="noConversion"/>
  </si>
  <si>
    <r>
      <t>使范围内一个费用最高的单位变成青蛙，没有攻击，生命为原来的(30%,25%,20%,15%,10%)，持续10</t>
    </r>
    <r>
      <rPr>
        <sz val="11"/>
        <color theme="1"/>
        <rFont val="宋体"/>
        <family val="2"/>
        <scheme val="minor"/>
      </rPr>
      <t>秒，如果期间羊没有死亡，则满血复活</t>
    </r>
    <phoneticPr fontId="5" type="noConversion"/>
  </si>
  <si>
    <t>所有单位防御提升(30%,35%,40%,45%,50%)，持续7S</t>
    <phoneticPr fontId="5" type="noConversion"/>
  </si>
  <si>
    <t>所有单位攻击提升(30%,35%,40%,45%,50%)，持续7S</t>
    <phoneticPr fontId="5" type="noConversion"/>
  </si>
  <si>
    <r>
      <t>所有单位可以抵挡一次攻击，并提升移速(50%,60%,70%,80%,100%)</t>
    </r>
    <r>
      <rPr>
        <sz val="11"/>
        <color theme="1"/>
        <rFont val="宋体"/>
        <family val="2"/>
        <scheme val="minor"/>
      </rPr>
      <t>，持续</t>
    </r>
    <r>
      <rPr>
        <sz val="11"/>
        <color theme="1"/>
        <rFont val="宋体"/>
        <family val="2"/>
        <scheme val="minor"/>
      </rPr>
      <t>(</t>
    </r>
    <r>
      <rPr>
        <sz val="11"/>
        <color theme="1"/>
        <rFont val="宋体"/>
        <family val="2"/>
        <scheme val="minor"/>
      </rPr>
      <t>5S</t>
    </r>
    <r>
      <rPr>
        <sz val="11"/>
        <color theme="1"/>
        <rFont val="宋体"/>
        <family val="2"/>
        <scheme val="minor"/>
      </rPr>
      <t>,5.5S,6S,6.5S,7S)</t>
    </r>
    <phoneticPr fontId="5" type="noConversion"/>
  </si>
  <si>
    <t>放置一个静置陷阱，当敌方有单位进入陷阱范围时，2S后陷阱爆炸，造成50点伤害，并使范围内单位眩晕(3,3.3,3.6,4,4.5)S</t>
    <phoneticPr fontId="5" type="noConversion"/>
  </si>
  <si>
    <r>
      <t>放置一个人毒蛇守卫(无敌</t>
    </r>
    <r>
      <rPr>
        <sz val="11"/>
        <color theme="1"/>
        <rFont val="宋体"/>
        <family val="2"/>
        <scheme val="minor"/>
      </rPr>
      <t>)</t>
    </r>
    <r>
      <rPr>
        <sz val="11"/>
        <color theme="1"/>
        <rFont val="宋体"/>
        <family val="2"/>
        <scheme val="minor"/>
      </rPr>
      <t>，会持续对周围单位造成攻击，持续10S</t>
    </r>
    <phoneticPr fontId="5" type="noConversion"/>
  </si>
  <si>
    <r>
      <t>所有单位提升100</t>
    </r>
    <r>
      <rPr>
        <sz val="11"/>
        <color theme="1"/>
        <rFont val="宋体"/>
        <family val="2"/>
        <scheme val="minor"/>
      </rPr>
      <t>点生命</t>
    </r>
    <phoneticPr fontId="5" type="noConversion"/>
  </si>
  <si>
    <t>兵种类型</t>
    <phoneticPr fontId="5" type="noConversion"/>
  </si>
  <si>
    <t>射手</t>
    <phoneticPr fontId="5" type="noConversion"/>
  </si>
  <si>
    <t>战士</t>
    <phoneticPr fontId="5" type="noConversion"/>
  </si>
  <si>
    <t>T</t>
    <phoneticPr fontId="5" type="noConversion"/>
  </si>
  <si>
    <t>空军</t>
    <phoneticPr fontId="5" type="noConversion"/>
  </si>
  <si>
    <t>法师</t>
  </si>
  <si>
    <t>法师</t>
    <phoneticPr fontId="5" type="noConversion"/>
  </si>
  <si>
    <t>攻击附带弹射，每次衰减系数0.75。攻击血量系数（0.9,0.7）</t>
    <phoneticPr fontId="5" type="noConversion"/>
  </si>
  <si>
    <t>提升50%治疗效果，20%的护甲。攻击血量系数（0.8,0.85）</t>
    <phoneticPr fontId="5" type="noConversion"/>
  </si>
  <si>
    <r>
      <t>4费游侠，</t>
    </r>
    <r>
      <rPr>
        <sz val="11"/>
        <color theme="1"/>
        <rFont val="宋体"/>
        <family val="2"/>
        <scheme val="minor"/>
      </rPr>
      <t>3费身材，3刀回1费</t>
    </r>
    <phoneticPr fontId="5" type="noConversion"/>
  </si>
  <si>
    <t>7费T，对远程免伤50%，攻血系数(0.75,0.9)</t>
    <phoneticPr fontId="5" type="noConversion"/>
  </si>
  <si>
    <t>出场隐身，攻击时现身。</t>
    <phoneticPr fontId="5" type="noConversion"/>
  </si>
  <si>
    <t>战吼，魅惑一人，5费,3费身材，攻血系数(0.75,1.35)</t>
    <phoneticPr fontId="5" type="noConversion"/>
  </si>
  <si>
    <t>5费，战吼亡语召唤一个塔，塔相当于3费的AOE法师。自身身材也是3费法师，塔有20%的护甲</t>
    <phoneticPr fontId="5" type="noConversion"/>
  </si>
  <si>
    <t>大招可以推人了。数值修改，大幅削弱普攻，一定程度的削弱技能的伤害</t>
    <phoneticPr fontId="5" type="noConversion"/>
  </si>
  <si>
    <t>大招加攻速，吸血</t>
    <phoneticPr fontId="5" type="noConversion"/>
  </si>
  <si>
    <t>开场快速滚动，遇敌方单位阻挡停止，攻血系数(0.85,0.85)</t>
    <phoneticPr fontId="5" type="noConversion"/>
  </si>
  <si>
    <t>免疫控制，大招突进。攻血修正(0.8,1)</t>
    <phoneticPr fontId="5" type="noConversion"/>
  </si>
  <si>
    <t>大招使友军短期内获得100%移速,50%免伤，50%的攻击力，持续5秒，而后单位死亡，给英雄获取生命的15%。
该英雄则是10的攻击距离，攻血系数(0.7,0.4)</t>
    <phoneticPr fontId="5" type="noConversion"/>
  </si>
  <si>
    <t>血量低于30%时会虚无5秒。没有英雄护甲</t>
    <phoneticPr fontId="5" type="noConversion"/>
  </si>
  <si>
    <t>宝石法师塔</t>
    <phoneticPr fontId="5" type="noConversion"/>
  </si>
  <si>
    <t>静止</t>
  </si>
  <si>
    <t>静止</t>
    <phoneticPr fontId="5" type="noConversion"/>
  </si>
  <si>
    <t>静止</t>
    <phoneticPr fontId="5" type="noConversion"/>
  </si>
  <si>
    <t>红宝石塔</t>
    <phoneticPr fontId="5" type="noConversion"/>
  </si>
  <si>
    <t>红宝石塔+1</t>
    <phoneticPr fontId="5" type="noConversion"/>
  </si>
  <si>
    <t>红宝石塔+2</t>
  </si>
  <si>
    <t>红宝石塔+3</t>
  </si>
  <si>
    <t>红宝石塔+4</t>
  </si>
  <si>
    <t>红宝石塔+5</t>
  </si>
  <si>
    <t>红宝石塔+6</t>
  </si>
  <si>
    <t>红宝石塔+7</t>
  </si>
  <si>
    <t>红宝石塔+8</t>
  </si>
  <si>
    <t>红宝石塔+9</t>
  </si>
  <si>
    <t>红宝石塔+10</t>
  </si>
  <si>
    <t>嘣炸弹引爆</t>
    <phoneticPr fontId="5" type="noConversion"/>
  </si>
  <si>
    <t>嘣炸弹引爆+1</t>
    <phoneticPr fontId="5" type="noConversion"/>
  </si>
  <si>
    <t>嘣炸弹引爆+2</t>
  </si>
  <si>
    <t>嘣炸弹引爆+3</t>
  </si>
  <si>
    <t>嘣炸弹引爆+4</t>
  </si>
  <si>
    <t>嘣炸弹引爆+5</t>
  </si>
  <si>
    <t>嘣炸弹引爆+6</t>
  </si>
  <si>
    <t>嘣炸弹引爆+7</t>
  </si>
  <si>
    <t>嘣炸弹引爆+8</t>
  </si>
  <si>
    <t>嘣炸弹引爆+9</t>
  </si>
  <si>
    <t>嘣炸弹引爆+10</t>
  </si>
  <si>
    <t>攻击距离</t>
    <phoneticPr fontId="5" type="noConversion"/>
  </si>
  <si>
    <t>消耗道具ID2</t>
    <phoneticPr fontId="5" type="noConversion"/>
  </si>
  <si>
    <t>消耗道具数量2</t>
    <phoneticPr fontId="5" type="noConversion"/>
  </si>
  <si>
    <t>品质</t>
    <phoneticPr fontId="5" type="noConversion"/>
  </si>
  <si>
    <t>宝石塔技能</t>
    <phoneticPr fontId="10" type="noConversion"/>
  </si>
  <si>
    <t>宝石塔技能+1</t>
    <phoneticPr fontId="10" type="noConversion"/>
  </si>
  <si>
    <t>宝石塔技能+2</t>
    <phoneticPr fontId="5" type="noConversion"/>
  </si>
  <si>
    <t>宝石塔技能+3</t>
    <phoneticPr fontId="5" type="noConversion"/>
  </si>
  <si>
    <t>宝石塔技能+4</t>
    <phoneticPr fontId="5" type="noConversion"/>
  </si>
  <si>
    <t>宝石塔技能+5</t>
    <phoneticPr fontId="5" type="noConversion"/>
  </si>
  <si>
    <t>宝石塔技能+6</t>
    <phoneticPr fontId="5" type="noConversion"/>
  </si>
  <si>
    <t>宝石塔技能+7</t>
    <phoneticPr fontId="5" type="noConversion"/>
  </si>
  <si>
    <t>宝石塔技能+8</t>
    <phoneticPr fontId="5" type="noConversion"/>
  </si>
  <si>
    <t>宝石塔技能+9</t>
    <phoneticPr fontId="5" type="noConversion"/>
  </si>
  <si>
    <t>宝石塔技能+10</t>
    <phoneticPr fontId="5" type="noConversion"/>
  </si>
  <si>
    <t>骑士斩杀回血+2</t>
  </si>
  <si>
    <t>骑士斩杀回血+3</t>
  </si>
  <si>
    <t>骑士斩杀回血+4</t>
  </si>
  <si>
    <t>骑士斩杀回血+5</t>
  </si>
  <si>
    <t>骑士斩杀回血+6</t>
  </si>
  <si>
    <t>骑士斩杀回血+7</t>
  </si>
  <si>
    <t>骑士斩杀回血+8</t>
  </si>
  <si>
    <t>骑士斩杀回血+9</t>
  </si>
  <si>
    <t>骑士斩杀回血+10</t>
  </si>
  <si>
    <t>骑士斩杀回血</t>
  </si>
  <si>
    <t>骑士斩杀回血+1</t>
  </si>
  <si>
    <t>计算攻击距离</t>
    <phoneticPr fontId="5" type="noConversion"/>
  </si>
  <si>
    <t>2费的自爆鸟</t>
    <phoneticPr fontId="5" type="noConversion"/>
  </si>
  <si>
    <t>寻敌范围</t>
    <phoneticPr fontId="5" type="noConversion"/>
  </si>
  <si>
    <t>范围</t>
    <phoneticPr fontId="5" type="noConversion"/>
  </si>
  <si>
    <t>名称</t>
    <phoneticPr fontId="5" type="noConversion"/>
  </si>
  <si>
    <t>胆小的</t>
    <phoneticPr fontId="5" type="noConversion"/>
  </si>
  <si>
    <t>普通的</t>
    <phoneticPr fontId="5" type="noConversion"/>
  </si>
  <si>
    <t>英勇的</t>
    <phoneticPr fontId="5" type="noConversion"/>
  </si>
  <si>
    <t>鲁莽的</t>
    <phoneticPr fontId="5" type="noConversion"/>
  </si>
  <si>
    <t>范围值</t>
    <phoneticPr fontId="5" type="noConversion"/>
  </si>
  <si>
    <t>续命神桶，游侠身材，攻血系数(0.5,1.2)</t>
    <phoneticPr fontId="5" type="noConversion"/>
  </si>
  <si>
    <t>隐藏费用</t>
    <phoneticPr fontId="5" type="noConversion"/>
  </si>
  <si>
    <t>4费群体减速40%，攻速减一半，攻血系数(0.5,1),7的射程</t>
    <phoneticPr fontId="5" type="noConversion"/>
  </si>
  <si>
    <t>英雄血量</t>
    <phoneticPr fontId="5" type="noConversion"/>
  </si>
  <si>
    <t>小恩戒律盾+0</t>
    <phoneticPr fontId="5" type="noConversion"/>
  </si>
  <si>
    <t>小恩戒律盾+1</t>
  </si>
  <si>
    <t>小恩戒律盾+2</t>
  </si>
  <si>
    <t>小恩戒律盾+3</t>
  </si>
  <si>
    <t>小恩戒律盾+4</t>
  </si>
  <si>
    <t>小恩戒律盾+5</t>
  </si>
  <si>
    <t>小恩戒律盾+6</t>
  </si>
  <si>
    <t>小恩戒律盾+7</t>
  </si>
  <si>
    <t>小恩戒律盾+8</t>
  </si>
  <si>
    <t>小恩戒律盾+9</t>
  </si>
  <si>
    <t>小恩戒律盾+10</t>
  </si>
  <si>
    <t>拥有治疗和清除debuff能力，每隔3秒给友军套个盾</t>
    <phoneticPr fontId="5" type="noConversion"/>
  </si>
  <si>
    <t>小树妖缠绕毒+0</t>
    <phoneticPr fontId="5" type="noConversion"/>
  </si>
  <si>
    <t>小树妖缠绕毒+1</t>
  </si>
  <si>
    <t>小树妖缠绕毒+2</t>
  </si>
  <si>
    <t>小树妖缠绕毒+3</t>
  </si>
  <si>
    <t>小树妖缠绕毒+4</t>
  </si>
  <si>
    <t>小树妖缠绕毒+5</t>
  </si>
  <si>
    <t>小树妖缠绕毒+6</t>
  </si>
  <si>
    <t>小树妖缠绕毒+7</t>
  </si>
  <si>
    <t>小树妖缠绕毒+8</t>
  </si>
  <si>
    <t>小树妖缠绕毒+9</t>
  </si>
  <si>
    <t>小树妖缠绕毒+10</t>
  </si>
  <si>
    <t>死后变成种子，定身3.5秒。并持续造成伤害</t>
    <phoneticPr fontId="5" type="noConversion"/>
  </si>
  <si>
    <t>召唤树妖种子</t>
  </si>
  <si>
    <t>召唤树妖种子+1</t>
  </si>
  <si>
    <t>召唤树妖种子+2</t>
  </si>
  <si>
    <t>召唤树妖种子+3</t>
  </si>
  <si>
    <t>召唤树妖种子+4</t>
  </si>
  <si>
    <t>召唤树妖种子+5</t>
  </si>
  <si>
    <t>召唤树妖种子+6</t>
  </si>
  <si>
    <t>召唤树妖种子+7</t>
  </si>
  <si>
    <t>召唤树妖种子+8</t>
  </si>
  <si>
    <t>召唤树妖种子+9</t>
  </si>
  <si>
    <t>召唤树妖种子+10</t>
  </si>
  <si>
    <t>治疗守卫回血+0</t>
  </si>
  <si>
    <t>治疗守卫回血+1</t>
  </si>
  <si>
    <t>治疗守卫回血+2</t>
  </si>
  <si>
    <t>治疗守卫回血+3</t>
  </si>
  <si>
    <t>治疗守卫回血+4</t>
  </si>
  <si>
    <t>主角技-火球术+0</t>
  </si>
  <si>
    <t>主角技-火球术+1</t>
  </si>
  <si>
    <t>主角技-火球术+2</t>
  </si>
  <si>
    <t>主角技-火球术+3</t>
  </si>
  <si>
    <t>主角技-火球术+4</t>
  </si>
  <si>
    <t>主角技-冰霜新星+0</t>
  </si>
  <si>
    <t>主角技-冰霜新星+1</t>
  </si>
  <si>
    <t>主角技-冰霜新星+2</t>
  </si>
  <si>
    <t>主角技-冰霜新星+3</t>
  </si>
  <si>
    <t>主角技-冰霜新星+4</t>
  </si>
  <si>
    <t>主角技-群补_1星</t>
  </si>
  <si>
    <t>主角技-群补_2星</t>
  </si>
  <si>
    <t>主角技-群补_3星</t>
  </si>
  <si>
    <t>主角技-群补_4星</t>
  </si>
  <si>
    <t>主角技-群补_5星</t>
  </si>
  <si>
    <t>AI英雄-嘣</t>
  </si>
  <si>
    <t>AI嘣普攻</t>
    <phoneticPr fontId="5" type="noConversion"/>
  </si>
  <si>
    <t>风</t>
    <phoneticPr fontId="5" type="noConversion"/>
  </si>
  <si>
    <t>火</t>
    <phoneticPr fontId="5" type="noConversion"/>
  </si>
  <si>
    <t>雷</t>
    <phoneticPr fontId="5" type="noConversion"/>
  </si>
  <si>
    <t>土</t>
    <phoneticPr fontId="5" type="noConversion"/>
  </si>
  <si>
    <t>水</t>
    <phoneticPr fontId="5" type="noConversion"/>
  </si>
  <si>
    <t>品质</t>
    <phoneticPr fontId="5" type="noConversion"/>
  </si>
  <si>
    <t>城堡</t>
    <phoneticPr fontId="5" type="noConversion"/>
  </si>
  <si>
    <t>城堡+1</t>
    <phoneticPr fontId="5" type="noConversion"/>
  </si>
  <si>
    <r>
      <t>城堡+2</t>
    </r>
    <r>
      <rPr>
        <sz val="11"/>
        <color theme="1"/>
        <rFont val="宋体"/>
        <family val="2"/>
        <charset val="134"/>
        <scheme val="minor"/>
      </rPr>
      <t/>
    </r>
    <phoneticPr fontId="5" type="noConversion"/>
  </si>
  <si>
    <t>城堡+3</t>
    <phoneticPr fontId="5" type="noConversion"/>
  </si>
  <si>
    <r>
      <t>城堡+4</t>
    </r>
    <r>
      <rPr>
        <sz val="11"/>
        <color theme="1"/>
        <rFont val="宋体"/>
        <family val="2"/>
        <charset val="134"/>
        <scheme val="minor"/>
      </rPr>
      <t/>
    </r>
    <phoneticPr fontId="5" type="noConversion"/>
  </si>
  <si>
    <t>城堡+5</t>
    <phoneticPr fontId="5" type="noConversion"/>
  </si>
  <si>
    <r>
      <t>城堡+6</t>
    </r>
    <r>
      <rPr>
        <sz val="11"/>
        <color theme="1"/>
        <rFont val="宋体"/>
        <family val="2"/>
        <charset val="134"/>
        <scheme val="minor"/>
      </rPr>
      <t/>
    </r>
    <phoneticPr fontId="5" type="noConversion"/>
  </si>
  <si>
    <t>城堡+7</t>
    <phoneticPr fontId="5" type="noConversion"/>
  </si>
  <si>
    <r>
      <t>城堡+8</t>
    </r>
    <r>
      <rPr>
        <sz val="11"/>
        <color theme="1"/>
        <rFont val="宋体"/>
        <family val="2"/>
        <charset val="134"/>
        <scheme val="minor"/>
      </rPr>
      <t/>
    </r>
    <phoneticPr fontId="5" type="noConversion"/>
  </si>
  <si>
    <t>城堡+9</t>
    <phoneticPr fontId="5" type="noConversion"/>
  </si>
  <si>
    <r>
      <t>城堡+10</t>
    </r>
    <r>
      <rPr>
        <sz val="11"/>
        <color theme="1"/>
        <rFont val="宋体"/>
        <family val="2"/>
        <charset val="134"/>
        <scheme val="minor"/>
      </rPr>
      <t/>
    </r>
    <phoneticPr fontId="5" type="noConversion"/>
  </si>
  <si>
    <t>城堡普攻+2</t>
  </si>
  <si>
    <t>城堡普攻+3</t>
  </si>
  <si>
    <t>城堡普攻+4</t>
  </si>
  <si>
    <t>城堡普攻+5</t>
  </si>
  <si>
    <t>城堡普攻+6</t>
  </si>
  <si>
    <t>城堡普攻+7</t>
  </si>
  <si>
    <t>城堡普攻+8</t>
  </si>
  <si>
    <t>城堡普攻+9</t>
  </si>
  <si>
    <t>城堡普攻+10</t>
  </si>
  <si>
    <t>空军</t>
  </si>
  <si>
    <t>城堡震地</t>
  </si>
  <si>
    <t>城堡震地+1</t>
  </si>
  <si>
    <t>城堡震地+2</t>
  </si>
  <si>
    <t>城堡震地+3</t>
  </si>
  <si>
    <t>城堡震地+4</t>
  </si>
  <si>
    <t>城堡震地+5</t>
  </si>
  <si>
    <t>城堡震地+6</t>
  </si>
  <si>
    <t>城堡震地+7</t>
  </si>
  <si>
    <t>城堡震地+8</t>
  </si>
  <si>
    <t>城堡震地+9</t>
  </si>
  <si>
    <t>城堡震地+10</t>
  </si>
  <si>
    <t>组队本1：
分为3个阶段。
第一个阶段为小怪阶段，在场景的4个角上有4波小怪，每波2个小怪，被攻击后激活。杀完小怪后场景刷出BOSS，进入第二阶段。
第二个阶段为普攻阶段。这一阶段，BOSS会不时释放矩形AOE，该AOE范围很广，可以打到后面的远程，玩家需要把远程和T放在不同方位，来规避对远程的伤害。同时，会不时召唤小怪，小怪有较高的移动速度，当小怪走到BOSS身边后，会发生爆炸，并变成一个强力单体输出。玩家需要第一时间处理掉小怪。
第三阶段为黑水阶段。BOSS会不断在随机位置召唤黑火，在黑火中的单位会快速死亡。玩家需要在这一阶段快速杀死BOSS，以免地上黑火太多，无法放兵。同时BOSS还会召唤炎魔，玩家杀死炎魔后会拾取灭火道具，可以清除地上的黑火</t>
    <phoneticPr fontId="5" type="noConversion"/>
  </si>
  <si>
    <t>一阶段</t>
    <phoneticPr fontId="5" type="noConversion"/>
  </si>
  <si>
    <t>时长</t>
    <phoneticPr fontId="5" type="noConversion"/>
  </si>
  <si>
    <t>雪人</t>
    <phoneticPr fontId="5" type="noConversion"/>
  </si>
  <si>
    <t>守卫</t>
    <phoneticPr fontId="5" type="noConversion"/>
  </si>
  <si>
    <t>耗费百分比</t>
    <phoneticPr fontId="5" type="noConversion"/>
  </si>
  <si>
    <t>射手</t>
    <phoneticPr fontId="5" type="noConversion"/>
  </si>
  <si>
    <t>T</t>
    <phoneticPr fontId="5" type="noConversion"/>
  </si>
  <si>
    <t>血量</t>
    <phoneticPr fontId="5" type="noConversion"/>
  </si>
  <si>
    <t>攻击</t>
    <phoneticPr fontId="5" type="noConversion"/>
  </si>
  <si>
    <t>等级</t>
    <phoneticPr fontId="5" type="noConversion"/>
  </si>
  <si>
    <t>进阶</t>
    <phoneticPr fontId="5" type="noConversion"/>
  </si>
  <si>
    <t>费用</t>
    <phoneticPr fontId="5" type="noConversion"/>
  </si>
  <si>
    <t>兵种</t>
    <phoneticPr fontId="5" type="noConversion"/>
  </si>
  <si>
    <t>备注</t>
    <phoneticPr fontId="5" type="noConversion"/>
  </si>
  <si>
    <t>1阶射手</t>
    <phoneticPr fontId="5" type="noConversion"/>
  </si>
  <si>
    <t>1阶T</t>
    <phoneticPr fontId="5" type="noConversion"/>
  </si>
  <si>
    <t>1阶英雄T</t>
    <phoneticPr fontId="5" type="noConversion"/>
  </si>
  <si>
    <t>1阶英雄游侠</t>
    <phoneticPr fontId="5" type="noConversion"/>
  </si>
  <si>
    <t>费用回复速度</t>
    <phoneticPr fontId="5" type="noConversion"/>
  </si>
  <si>
    <t>最后射手数</t>
    <phoneticPr fontId="5" type="noConversion"/>
  </si>
  <si>
    <t>初始射手数</t>
    <phoneticPr fontId="5" type="noConversion"/>
  </si>
  <si>
    <t>射手总伤害</t>
    <phoneticPr fontId="5" type="noConversion"/>
  </si>
  <si>
    <t>英雄复活时长</t>
    <phoneticPr fontId="5" type="noConversion"/>
  </si>
  <si>
    <t>初始费用</t>
    <phoneticPr fontId="5" type="noConversion"/>
  </si>
  <si>
    <t>血量百分比</t>
    <phoneticPr fontId="5" type="noConversion"/>
  </si>
  <si>
    <t>攻击百分比</t>
    <phoneticPr fontId="5" type="noConversion"/>
  </si>
  <si>
    <t>攻速</t>
    <phoneticPr fontId="5" type="noConversion"/>
  </si>
  <si>
    <t>二阶段</t>
    <phoneticPr fontId="5" type="noConversion"/>
  </si>
  <si>
    <t>普攻耗费百分比</t>
    <phoneticPr fontId="5" type="noConversion"/>
  </si>
  <si>
    <t>BOSS普攻</t>
    <phoneticPr fontId="5" type="noConversion"/>
  </si>
  <si>
    <t>BOSS普攻削费百分比</t>
    <phoneticPr fontId="5" type="noConversion"/>
  </si>
  <si>
    <t>BOSS普攻伤害</t>
    <phoneticPr fontId="5" type="noConversion"/>
  </si>
  <si>
    <t>主角碎片</t>
    <phoneticPr fontId="5" type="noConversion"/>
  </si>
  <si>
    <t>骑士碎片</t>
    <phoneticPr fontId="5" type="noConversion"/>
  </si>
  <si>
    <t>酒桶碎片</t>
    <phoneticPr fontId="5" type="noConversion"/>
  </si>
  <si>
    <t>飞矛手碎片</t>
    <phoneticPr fontId="5" type="noConversion"/>
  </si>
  <si>
    <t>雪人碎片</t>
    <phoneticPr fontId="5" type="noConversion"/>
  </si>
  <si>
    <t>小花碎片</t>
    <phoneticPr fontId="5" type="noConversion"/>
  </si>
  <si>
    <t>空投者碎片</t>
    <phoneticPr fontId="5" type="noConversion"/>
  </si>
  <si>
    <t>小树妖碎片</t>
    <phoneticPr fontId="5" type="noConversion"/>
  </si>
  <si>
    <t>阴阳师碎片</t>
    <phoneticPr fontId="5" type="noConversion"/>
  </si>
  <si>
    <t>风暴女碎片</t>
    <phoneticPr fontId="5" type="noConversion"/>
  </si>
  <si>
    <t>力士碎片</t>
    <phoneticPr fontId="5" type="noConversion"/>
  </si>
  <si>
    <t>zero碎片</t>
    <phoneticPr fontId="5" type="noConversion"/>
  </si>
  <si>
    <t>飞斧泰坦碎片</t>
    <phoneticPr fontId="5" type="noConversion"/>
  </si>
  <si>
    <t>小炮碎片</t>
    <phoneticPr fontId="5" type="noConversion"/>
  </si>
  <si>
    <t>铠甲熊碎片</t>
    <phoneticPr fontId="5" type="noConversion"/>
  </si>
  <si>
    <t>狂暴巨人碎片</t>
    <phoneticPr fontId="5" type="noConversion"/>
  </si>
  <si>
    <t>小恩碎片</t>
    <phoneticPr fontId="5" type="noConversion"/>
  </si>
  <si>
    <t>牛头酋长碎片</t>
    <phoneticPr fontId="5" type="noConversion"/>
  </si>
  <si>
    <t>卡亚碎片</t>
    <phoneticPr fontId="5" type="noConversion"/>
  </si>
  <si>
    <t>白幽灵碎片</t>
    <phoneticPr fontId="5" type="noConversion"/>
  </si>
  <si>
    <t>暴风步兵碎片</t>
    <phoneticPr fontId="5" type="noConversion"/>
  </si>
  <si>
    <t>鹰身人碎片</t>
    <phoneticPr fontId="5" type="noConversion"/>
  </si>
  <si>
    <t>斯巴达碎片</t>
    <phoneticPr fontId="5" type="noConversion"/>
  </si>
  <si>
    <t>樱花武士碎片</t>
    <phoneticPr fontId="5" type="noConversion"/>
  </si>
  <si>
    <t>黑岩碎片</t>
    <phoneticPr fontId="5" type="noConversion"/>
  </si>
  <si>
    <t>大嘴碎片</t>
    <phoneticPr fontId="5" type="noConversion"/>
  </si>
  <si>
    <t>钢刀碎片</t>
    <phoneticPr fontId="5" type="noConversion"/>
  </si>
  <si>
    <t>古尔丹碎片</t>
    <phoneticPr fontId="5" type="noConversion"/>
  </si>
  <si>
    <t>守护泰坦碎片</t>
    <phoneticPr fontId="5" type="noConversion"/>
  </si>
  <si>
    <t>泰兰碎片</t>
    <phoneticPr fontId="5" type="noConversion"/>
  </si>
  <si>
    <t>喵夫人碎片</t>
    <phoneticPr fontId="5" type="noConversion"/>
  </si>
  <si>
    <t>喵喵守卫碎片</t>
    <phoneticPr fontId="5" type="noConversion"/>
  </si>
  <si>
    <t>粉红女巫碎片</t>
    <phoneticPr fontId="5" type="noConversion"/>
  </si>
  <si>
    <t>小鹿碎片</t>
    <phoneticPr fontId="5" type="noConversion"/>
  </si>
  <si>
    <t>投棘者碎片</t>
    <phoneticPr fontId="5" type="noConversion"/>
  </si>
  <si>
    <t>宝石法师碎片</t>
    <phoneticPr fontId="5" type="noConversion"/>
  </si>
  <si>
    <t>蓝电法师碎片</t>
    <phoneticPr fontId="5" type="noConversion"/>
  </si>
  <si>
    <t>嘣碎片</t>
    <phoneticPr fontId="5" type="noConversion"/>
  </si>
  <si>
    <t>火焰领主碎片</t>
    <phoneticPr fontId="5" type="noConversion"/>
  </si>
  <si>
    <t>左护法碎片</t>
    <phoneticPr fontId="5" type="noConversion"/>
  </si>
  <si>
    <t>右护法碎片</t>
    <phoneticPr fontId="5" type="noConversion"/>
  </si>
  <si>
    <t>魅魔碎片</t>
    <phoneticPr fontId="5" type="noConversion"/>
  </si>
  <si>
    <t>死神碎片</t>
    <phoneticPr fontId="5" type="noConversion"/>
  </si>
  <si>
    <t>祖母碎片</t>
    <phoneticPr fontId="5" type="noConversion"/>
  </si>
  <si>
    <t>城堡碎片</t>
    <phoneticPr fontId="5" type="noConversion"/>
  </si>
  <si>
    <t>死神</t>
    <phoneticPr fontId="5" type="noConversion"/>
  </si>
  <si>
    <t>英雄-祖母</t>
    <phoneticPr fontId="5" type="noConversion"/>
  </si>
  <si>
    <t>英雄-祖母+1</t>
    <phoneticPr fontId="5" type="noConversion"/>
  </si>
  <si>
    <t>英雄-祖母+2</t>
    <phoneticPr fontId="5" type="noConversion"/>
  </si>
  <si>
    <t>英雄-祖母+3</t>
    <phoneticPr fontId="5" type="noConversion"/>
  </si>
  <si>
    <t>英雄-祖母+4</t>
    <phoneticPr fontId="5" type="noConversion"/>
  </si>
  <si>
    <t>英雄-祖母+5</t>
    <phoneticPr fontId="5" type="noConversion"/>
  </si>
  <si>
    <t>英雄-祖母+6</t>
    <phoneticPr fontId="5" type="noConversion"/>
  </si>
  <si>
    <t>英雄-祖母+7</t>
    <phoneticPr fontId="5" type="noConversion"/>
  </si>
  <si>
    <t>英雄-祖母+8</t>
    <phoneticPr fontId="5" type="noConversion"/>
  </si>
  <si>
    <t>英雄-祖母+9</t>
    <phoneticPr fontId="5" type="noConversion"/>
  </si>
  <si>
    <t>英雄-祖母+10</t>
    <phoneticPr fontId="5" type="noConversion"/>
  </si>
  <si>
    <t>死神+1</t>
    <phoneticPr fontId="5" type="noConversion"/>
  </si>
  <si>
    <t>死神+2</t>
    <phoneticPr fontId="5" type="noConversion"/>
  </si>
  <si>
    <t>死神+3</t>
    <phoneticPr fontId="5" type="noConversion"/>
  </si>
  <si>
    <t>死神+4</t>
    <phoneticPr fontId="5" type="noConversion"/>
  </si>
  <si>
    <t>死神+5</t>
    <phoneticPr fontId="5" type="noConversion"/>
  </si>
  <si>
    <t>死神+6</t>
    <phoneticPr fontId="5" type="noConversion"/>
  </si>
  <si>
    <t>死神+7</t>
    <phoneticPr fontId="5" type="noConversion"/>
  </si>
  <si>
    <t>死神+8</t>
    <phoneticPr fontId="5" type="noConversion"/>
  </si>
  <si>
    <t>死神+9</t>
    <phoneticPr fontId="5" type="noConversion"/>
  </si>
  <si>
    <t>死神+10</t>
    <phoneticPr fontId="5" type="noConversion"/>
  </si>
  <si>
    <t>忍者碎片</t>
    <phoneticPr fontId="5" type="noConversion"/>
  </si>
  <si>
    <t>时长</t>
    <phoneticPr fontId="5" type="noConversion"/>
  </si>
  <si>
    <t>BOSS技能</t>
    <phoneticPr fontId="5" type="noConversion"/>
  </si>
  <si>
    <t>BOSS技能削费百分比</t>
    <phoneticPr fontId="5" type="noConversion"/>
  </si>
  <si>
    <t>BOSS技能伤害</t>
    <phoneticPr fontId="5" type="noConversion"/>
  </si>
  <si>
    <t>伤害</t>
    <phoneticPr fontId="5" type="noConversion"/>
  </si>
  <si>
    <t>初始输出</t>
    <phoneticPr fontId="5" type="noConversion"/>
  </si>
  <si>
    <t>结尾输出</t>
    <phoneticPr fontId="5" type="noConversion"/>
  </si>
  <si>
    <t>总伤害</t>
    <phoneticPr fontId="5" type="noConversion"/>
  </si>
  <si>
    <t>总承受伤害</t>
    <phoneticPr fontId="5" type="noConversion"/>
  </si>
  <si>
    <t>总消耗费用</t>
    <phoneticPr fontId="5" type="noConversion"/>
  </si>
  <si>
    <t>火人间隔</t>
    <phoneticPr fontId="5" type="noConversion"/>
  </si>
  <si>
    <t>火人消耗时间</t>
    <phoneticPr fontId="5" type="noConversion"/>
  </si>
  <si>
    <t>火人消耗输出</t>
    <phoneticPr fontId="5" type="noConversion"/>
  </si>
  <si>
    <t>削减费用</t>
    <phoneticPr fontId="5" type="noConversion"/>
  </si>
  <si>
    <t>认为修正</t>
    <phoneticPr fontId="5" type="noConversion"/>
  </si>
  <si>
    <t>二阶段BOSS血量</t>
    <phoneticPr fontId="5" type="noConversion"/>
  </si>
  <si>
    <t>人为修正</t>
    <phoneticPr fontId="5" type="noConversion"/>
  </si>
  <si>
    <t>值</t>
    <phoneticPr fontId="5" type="noConversion"/>
  </si>
  <si>
    <t>单个火人生命</t>
    <phoneticPr fontId="5" type="noConversion"/>
  </si>
  <si>
    <t>三阶段</t>
    <phoneticPr fontId="5" type="noConversion"/>
  </si>
  <si>
    <t>时长</t>
    <phoneticPr fontId="5" type="noConversion"/>
  </si>
  <si>
    <t>净增费用</t>
    <phoneticPr fontId="5" type="noConversion"/>
  </si>
  <si>
    <t>火人削费</t>
    <phoneticPr fontId="5" type="noConversion"/>
  </si>
  <si>
    <t>火人秒伤</t>
    <phoneticPr fontId="5" type="noConversion"/>
  </si>
  <si>
    <t>单个火人生存时间</t>
    <phoneticPr fontId="5" type="noConversion"/>
  </si>
  <si>
    <t>投入火人射手量</t>
    <phoneticPr fontId="5" type="noConversion"/>
  </si>
  <si>
    <t>火人血量</t>
    <phoneticPr fontId="5" type="noConversion"/>
  </si>
  <si>
    <t>最后剩余血量</t>
    <phoneticPr fontId="5" type="noConversion"/>
  </si>
  <si>
    <t>场上平均输出</t>
    <phoneticPr fontId="5" type="noConversion"/>
  </si>
  <si>
    <t>血量</t>
    <phoneticPr fontId="5" type="noConversion"/>
  </si>
  <si>
    <t>攻击</t>
    <phoneticPr fontId="5" type="noConversion"/>
  </si>
  <si>
    <t>BOSS</t>
    <phoneticPr fontId="5" type="noConversion"/>
  </si>
  <si>
    <t>雪人</t>
    <phoneticPr fontId="5" type="noConversion"/>
  </si>
  <si>
    <t>护卫</t>
    <phoneticPr fontId="5" type="noConversion"/>
  </si>
  <si>
    <t>自爆火人生命</t>
    <phoneticPr fontId="5" type="noConversion"/>
  </si>
  <si>
    <t>间隔</t>
    <phoneticPr fontId="5" type="noConversion"/>
  </si>
  <si>
    <t>20秒</t>
    <phoneticPr fontId="5" type="noConversion"/>
  </si>
  <si>
    <t>火人守卫</t>
    <phoneticPr fontId="5" type="noConversion"/>
  </si>
  <si>
    <t>25%血进入2阶段</t>
    <phoneticPr fontId="5" type="noConversion"/>
  </si>
  <si>
    <t>综上_普通</t>
    <phoneticPr fontId="5" type="noConversion"/>
  </si>
  <si>
    <t>综上_困难</t>
    <phoneticPr fontId="5" type="noConversion"/>
  </si>
  <si>
    <t>综上_噩梦</t>
    <phoneticPr fontId="5" type="noConversion"/>
  </si>
  <si>
    <t>火人守卫</t>
    <phoneticPr fontId="5" type="noConversion"/>
  </si>
  <si>
    <t>自爆伤害</t>
    <phoneticPr fontId="5" type="noConversion"/>
  </si>
  <si>
    <t>蓝电法师普攻电击</t>
    <phoneticPr fontId="10" type="noConversion"/>
  </si>
  <si>
    <t>偏慢</t>
  </si>
  <si>
    <t>偏慢</t>
    <phoneticPr fontId="5" type="noConversion"/>
  </si>
  <si>
    <t>粉红女巫心灵之火</t>
  </si>
  <si>
    <t>粉红女巫心灵之火+1</t>
  </si>
  <si>
    <t>粉红女巫心灵之火+2</t>
  </si>
  <si>
    <t>粉红女巫心灵之火+3</t>
  </si>
  <si>
    <t>粉红女巫心灵之火+4</t>
  </si>
  <si>
    <t>粉红女巫心灵之火+5</t>
  </si>
  <si>
    <t>粉红女巫心灵之火+6</t>
  </si>
  <si>
    <t>粉红女巫心灵之火+7</t>
  </si>
  <si>
    <t>粉红女巫心灵之火+8</t>
  </si>
  <si>
    <t>粉红女巫心灵之火+9</t>
  </si>
  <si>
    <t>粉红女巫心灵之火+10</t>
  </si>
  <si>
    <t>粉红女巫心灵之火护盾+0</t>
    <phoneticPr fontId="5" type="noConversion"/>
  </si>
  <si>
    <t>粉红女巫心灵之火护盾+1</t>
  </si>
  <si>
    <t>粉红女巫心灵之火护盾+2</t>
  </si>
  <si>
    <t>粉红女巫心灵之火护盾+3</t>
  </si>
  <si>
    <t>粉红女巫心灵之火护盾+4</t>
  </si>
  <si>
    <t>粉红女巫心灵之火护盾+5</t>
  </si>
  <si>
    <t>粉红女巫心灵之火护盾+6</t>
  </si>
  <si>
    <t>粉红女巫心灵之火护盾+7</t>
  </si>
  <si>
    <t>粉红女巫心灵之火护盾+8</t>
  </si>
  <si>
    <t>粉红女巫心灵之火护盾+9</t>
  </si>
  <si>
    <t>粉红女巫心灵之火护盾+10</t>
  </si>
  <si>
    <t>一阶段</t>
    <phoneticPr fontId="5" type="noConversion"/>
  </si>
  <si>
    <t>耗费百分比</t>
    <phoneticPr fontId="5" type="noConversion"/>
  </si>
  <si>
    <t>预计对战时间</t>
    <phoneticPr fontId="5" type="noConversion"/>
  </si>
  <si>
    <t>1阶英雄射手</t>
    <phoneticPr fontId="5" type="noConversion"/>
  </si>
  <si>
    <t>二阶段</t>
    <phoneticPr fontId="5" type="noConversion"/>
  </si>
  <si>
    <t>场上平均费用</t>
    <phoneticPr fontId="5" type="noConversion"/>
  </si>
  <si>
    <t>剩余费用</t>
    <phoneticPr fontId="5" type="noConversion"/>
  </si>
  <si>
    <t>BOSS血量</t>
    <phoneticPr fontId="5" type="noConversion"/>
  </si>
  <si>
    <t>BOSS攻击</t>
    <phoneticPr fontId="5" type="noConversion"/>
  </si>
  <si>
    <t>震屏伤害</t>
    <phoneticPr fontId="5" type="noConversion"/>
  </si>
  <si>
    <t>三阶段</t>
    <phoneticPr fontId="5" type="noConversion"/>
  </si>
  <si>
    <t>攻击间隔</t>
    <phoneticPr fontId="5" type="noConversion"/>
  </si>
  <si>
    <t>血量修正系数</t>
    <phoneticPr fontId="5" type="noConversion"/>
  </si>
  <si>
    <t>攻击修正系数</t>
    <phoneticPr fontId="5" type="noConversion"/>
  </si>
  <si>
    <t>柱子</t>
    <phoneticPr fontId="5" type="noConversion"/>
  </si>
  <si>
    <t>BOSS</t>
    <phoneticPr fontId="5" type="noConversion"/>
  </si>
  <si>
    <t>攻击</t>
    <phoneticPr fontId="5" type="noConversion"/>
  </si>
  <si>
    <t>血量</t>
    <phoneticPr fontId="5" type="noConversion"/>
  </si>
  <si>
    <t>原先速度</t>
    <phoneticPr fontId="5" type="noConversion"/>
  </si>
  <si>
    <t>系数</t>
    <phoneticPr fontId="5" type="noConversion"/>
  </si>
  <si>
    <t>提升35%的攻击速度和25%的吸血，攻血系数(0.75,0.7)</t>
    <phoneticPr fontId="5" type="noConversion"/>
  </si>
  <si>
    <t>狼魂萨满普攻</t>
    <phoneticPr fontId="5" type="noConversion"/>
  </si>
  <si>
    <t>狼魂萨满普攻+1</t>
    <phoneticPr fontId="5" type="noConversion"/>
  </si>
  <si>
    <t>狼魂萨满普攻+2</t>
  </si>
  <si>
    <t>狼魂萨满普攻+3</t>
  </si>
  <si>
    <t>狼魂萨满普攻+4</t>
  </si>
  <si>
    <t>狼魂萨满普攻+5</t>
  </si>
  <si>
    <t>狼魂萨满普攻+6</t>
  </si>
  <si>
    <t>狼魂萨满普攻+7</t>
  </si>
  <si>
    <t>狼魂萨满普攻+8</t>
  </si>
  <si>
    <t>狼魂萨满普攻+9</t>
  </si>
  <si>
    <t>狼魂萨满普攻+10</t>
  </si>
  <si>
    <t>狼魂萨满</t>
    <phoneticPr fontId="5" type="noConversion"/>
  </si>
  <si>
    <t>狼魂萨满+1</t>
    <phoneticPr fontId="5" type="noConversion"/>
  </si>
  <si>
    <t>狼魂萨满+2</t>
  </si>
  <si>
    <t>狼魂萨满+3</t>
  </si>
  <si>
    <t>狼魂萨满+4</t>
  </si>
  <si>
    <t>狼魂萨满+5</t>
  </si>
  <si>
    <t>狼魂萨满+6</t>
  </si>
  <si>
    <t>狼魂萨满+7</t>
  </si>
  <si>
    <t>狼魂萨满+8</t>
  </si>
  <si>
    <t>狼魂萨满+9</t>
  </si>
  <si>
    <t>狼魂萨满+10</t>
  </si>
  <si>
    <t>狼魂萨满碎片</t>
    <phoneticPr fontId="5" type="noConversion"/>
  </si>
  <si>
    <t>英雄攻击</t>
    <phoneticPr fontId="5" type="noConversion"/>
  </si>
  <si>
    <t>综上_困难</t>
    <phoneticPr fontId="5" type="noConversion"/>
  </si>
  <si>
    <t>综上_噩梦</t>
    <phoneticPr fontId="5" type="noConversion"/>
  </si>
  <si>
    <t>粉红女巫治疗</t>
    <phoneticPr fontId="5" type="noConversion"/>
  </si>
  <si>
    <t>粉红女巫治疗+1</t>
    <phoneticPr fontId="5" type="noConversion"/>
  </si>
  <si>
    <t>粉红女巫治疗+2</t>
  </si>
  <si>
    <t>粉红女巫治疗+3</t>
  </si>
  <si>
    <t>粉红女巫治疗+4</t>
  </si>
  <si>
    <t>粉红女巫治疗+5</t>
  </si>
  <si>
    <t>粉红女巫治疗+6</t>
  </si>
  <si>
    <t>粉红女巫治疗+7</t>
  </si>
  <si>
    <t>粉红女巫治疗+8</t>
  </si>
  <si>
    <t>粉红女巫治疗+9</t>
  </si>
  <si>
    <t>粉红女巫治疗+10</t>
  </si>
  <si>
    <t>自动技能，5秒释放一次回春，0.4的系数，2.5秒回5次。
普攻毒箭，减30%攻速，持续3秒</t>
    <phoneticPr fontId="5" type="noConversion"/>
  </si>
  <si>
    <t>男主角普攻</t>
  </si>
  <si>
    <t>男主角普攻+1</t>
  </si>
  <si>
    <t>男主角普攻+2</t>
  </si>
  <si>
    <t>男主角普攻+3</t>
  </si>
  <si>
    <t>男主角普攻+4</t>
  </si>
  <si>
    <t>男主角普攻+5</t>
  </si>
  <si>
    <t>男主角普攻+6</t>
  </si>
  <si>
    <t>男主角普攻+7</t>
  </si>
  <si>
    <t>男主角普攻+8</t>
  </si>
  <si>
    <t>男主角普攻+9</t>
  </si>
  <si>
    <t>男主角普攻+10</t>
  </si>
  <si>
    <t>女主角普攻</t>
  </si>
  <si>
    <t>女主角普攻+1</t>
  </si>
  <si>
    <t>女主角普攻+2</t>
  </si>
  <si>
    <t>女主角普攻+3</t>
  </si>
  <si>
    <t>女主角普攻+4</t>
  </si>
  <si>
    <t>女主角普攻+5</t>
  </si>
  <si>
    <t>女主角普攻+6</t>
  </si>
  <si>
    <t>女主角普攻+7</t>
  </si>
  <si>
    <t>女主角普攻+8</t>
  </si>
  <si>
    <t>女主角普攻+9</t>
  </si>
  <si>
    <t>女主角普攻+10</t>
  </si>
  <si>
    <t>盖亚箭塔普攻</t>
  </si>
  <si>
    <t>盖亚箭塔普攻+1</t>
  </si>
  <si>
    <t>盖亚箭塔普攻+2</t>
  </si>
  <si>
    <t>盖亚箭塔普攻+3</t>
  </si>
  <si>
    <t>盖亚箭塔普攻+4</t>
  </si>
  <si>
    <t>盖亚箭塔普攻+5</t>
  </si>
  <si>
    <t>盖亚箭塔普攻+6</t>
  </si>
  <si>
    <t>盖亚箭塔普攻+7</t>
  </si>
  <si>
    <t>盖亚箭塔普攻+8</t>
  </si>
  <si>
    <t>盖亚箭塔普攻+9</t>
  </si>
  <si>
    <t>盖亚箭塔普攻+10</t>
  </si>
  <si>
    <t>泰坦箭塔普攻</t>
  </si>
  <si>
    <t>泰坦箭塔普攻+1</t>
  </si>
  <si>
    <t>泰坦箭塔普攻+2</t>
  </si>
  <si>
    <t>泰坦箭塔普攻+3</t>
  </si>
  <si>
    <t>泰坦箭塔普攻+4</t>
  </si>
  <si>
    <t>泰坦箭塔普攻+5</t>
  </si>
  <si>
    <t>泰坦箭塔普攻+6</t>
  </si>
  <si>
    <t>泰坦箭塔普攻+7</t>
  </si>
  <si>
    <t>泰坦箭塔普攻+8</t>
  </si>
  <si>
    <t>泰坦箭塔普攻+9</t>
  </si>
  <si>
    <t>泰坦箭塔普攻+10</t>
  </si>
  <si>
    <t>骑士普攻</t>
  </si>
  <si>
    <t>骑士普攻+1</t>
  </si>
  <si>
    <t>骑士普攻+2</t>
  </si>
  <si>
    <t>酒桶普攻</t>
  </si>
  <si>
    <t>酒桶普攻+1</t>
  </si>
  <si>
    <t>酒桶普攻+2</t>
  </si>
  <si>
    <t>飞矛手毒箭</t>
  </si>
  <si>
    <t>雪人普攻</t>
  </si>
  <si>
    <t>雪人普攻+1</t>
  </si>
  <si>
    <t>小花普攻</t>
  </si>
  <si>
    <t>小花普攻+1</t>
  </si>
  <si>
    <t>空投者普攻</t>
  </si>
  <si>
    <t>空投者普攻+1</t>
  </si>
  <si>
    <t>小树妖普攻</t>
  </si>
  <si>
    <t>小树妖普攻+1</t>
  </si>
  <si>
    <t>忍者普攻</t>
  </si>
  <si>
    <t>忍者普攻+1</t>
  </si>
  <si>
    <t>阴阳师普攻</t>
  </si>
  <si>
    <t>阴阳师普攻+1</t>
  </si>
  <si>
    <t>阴阳师定身技</t>
  </si>
  <si>
    <t>阴阳师定身技+1</t>
  </si>
  <si>
    <t>阴阳师定身技+2</t>
  </si>
  <si>
    <t>阴阳师定身技+3</t>
  </si>
  <si>
    <t>阴阳师定身技+4</t>
  </si>
  <si>
    <t>阴阳师定身技+5</t>
  </si>
  <si>
    <t>阴阳师定身技+6</t>
  </si>
  <si>
    <t>阴阳师定身技+7</t>
  </si>
  <si>
    <t>阴阳师定身技+8</t>
  </si>
  <si>
    <t>阴阳师定身技+9</t>
  </si>
  <si>
    <t>阴阳师定身技+10</t>
  </si>
  <si>
    <t>暴风女普攻</t>
  </si>
  <si>
    <t>暴风女普攻+1</t>
  </si>
  <si>
    <t>暴风女技能</t>
  </si>
  <si>
    <t>暴风女技能+1</t>
  </si>
  <si>
    <t>忍者分身普攻</t>
  </si>
  <si>
    <t>忍者分身普攻+1</t>
  </si>
  <si>
    <t>忍者分身普攻+2</t>
  </si>
  <si>
    <t>忍者分身普攻+3</t>
  </si>
  <si>
    <t>忍者分身普攻+4</t>
  </si>
  <si>
    <t>忍者分身普攻+5</t>
  </si>
  <si>
    <t>忍者分身普攻+6</t>
  </si>
  <si>
    <t>忍者分身普攻+7</t>
  </si>
  <si>
    <t>忍者分身普攻+8</t>
  </si>
  <si>
    <t>忍者分身普攻+9</t>
  </si>
  <si>
    <t>忍者分身普攻+10</t>
  </si>
  <si>
    <t>力士普攻</t>
  </si>
  <si>
    <t>力士普攻+1</t>
  </si>
  <si>
    <t>zero普攻</t>
  </si>
  <si>
    <t>zero普攻+1</t>
  </si>
  <si>
    <t>zero技能</t>
  </si>
  <si>
    <t>zero技能+1</t>
  </si>
  <si>
    <t>泰坦飞斧普攻</t>
  </si>
  <si>
    <t>泰坦飞斧普攻+1</t>
  </si>
  <si>
    <t>泰坦飞斧普攻+2</t>
  </si>
  <si>
    <t>泰坦飞斧普攻+3</t>
  </si>
  <si>
    <t>泰坦飞斧普攻+4</t>
  </si>
  <si>
    <t>泰坦飞斧普攻+5</t>
  </si>
  <si>
    <t>泰坦飞斧普攻+6</t>
  </si>
  <si>
    <t>泰坦飞斧普攻+7</t>
  </si>
  <si>
    <t>泰坦飞斧普攻+8</t>
  </si>
  <si>
    <t>泰坦飞斧普攻+9</t>
  </si>
  <si>
    <t>泰坦飞斧普攻+10</t>
  </si>
  <si>
    <t>小炮普攻</t>
  </si>
  <si>
    <t>小炮普攻+1</t>
  </si>
  <si>
    <t>铠甲熊普攻</t>
  </si>
  <si>
    <t>铠甲熊普攻+1</t>
  </si>
  <si>
    <t>小恩普攻</t>
  </si>
  <si>
    <t>小恩普攻+1</t>
  </si>
  <si>
    <t>酋长普攻</t>
  </si>
  <si>
    <t>酋长普攻+1</t>
  </si>
  <si>
    <t>小恩技能</t>
  </si>
  <si>
    <t>小恩技能+1</t>
  </si>
  <si>
    <t>酋长技能</t>
  </si>
  <si>
    <t>酋长技能+1</t>
  </si>
  <si>
    <t>卡亚普攻</t>
  </si>
  <si>
    <t>卡亚普攻+1</t>
  </si>
  <si>
    <t>白幽灵普攻</t>
  </si>
  <si>
    <t>白幽灵普攻+1</t>
  </si>
  <si>
    <t>暴风步兵普攻</t>
  </si>
  <si>
    <t>暴风步兵普攻+1</t>
  </si>
  <si>
    <t>鹰身人普攻</t>
  </si>
  <si>
    <t>鹰身人普攻+1</t>
  </si>
  <si>
    <t>斯巴达普攻</t>
  </si>
  <si>
    <t>斯巴达普攻+1</t>
  </si>
  <si>
    <t>斯巴达落地晕</t>
  </si>
  <si>
    <t>斯巴达落地晕+1</t>
  </si>
  <si>
    <t>樱花武士普攻</t>
  </si>
  <si>
    <t>樱花武士普攻+1</t>
  </si>
  <si>
    <t>黑岩普攻</t>
  </si>
  <si>
    <t>黑岩普攻+1</t>
  </si>
  <si>
    <t>小鹿加血</t>
  </si>
  <si>
    <t>小鹿加血+1</t>
  </si>
  <si>
    <t>小鹿加血+2</t>
  </si>
  <si>
    <t>小鹿加血+3</t>
  </si>
  <si>
    <t>小鹿加血+4</t>
  </si>
  <si>
    <t>小鹿加血+5</t>
  </si>
  <si>
    <t>小鹿加血+6</t>
  </si>
  <si>
    <t>小鹿加血+7</t>
  </si>
  <si>
    <t>小鹿加血+8</t>
  </si>
  <si>
    <t>小鹿加血+9</t>
  </si>
  <si>
    <t>小鹿加血+10</t>
  </si>
  <si>
    <t>法术数值表模</t>
    <phoneticPr fontId="5" type="noConversion"/>
  </si>
  <si>
    <t>伤害</t>
    <phoneticPr fontId="5" type="noConversion"/>
  </si>
  <si>
    <t>治疗</t>
    <phoneticPr fontId="5" type="noConversion"/>
  </si>
  <si>
    <t>数值成长</t>
    <phoneticPr fontId="5" type="noConversion"/>
  </si>
  <si>
    <t>法术费用</t>
    <phoneticPr fontId="5" type="noConversion"/>
  </si>
  <si>
    <t>系数</t>
    <phoneticPr fontId="5" type="noConversion"/>
  </si>
  <si>
    <t>等级</t>
    <phoneticPr fontId="5" type="noConversion"/>
  </si>
  <si>
    <t>功能性法术补护盾+0</t>
    <phoneticPr fontId="5" type="noConversion"/>
  </si>
  <si>
    <t>功能性法术补护盾+1</t>
  </si>
  <si>
    <t>功能性法术补护盾+2</t>
  </si>
  <si>
    <t>功能性法术补护盾+3</t>
  </si>
  <si>
    <t>功能性法术补护盾+4</t>
  </si>
  <si>
    <r>
      <t>功能性法术补伤害+</t>
    </r>
    <r>
      <rPr>
        <sz val="11"/>
        <color theme="1"/>
        <rFont val="宋体"/>
        <family val="2"/>
        <scheme val="minor"/>
      </rPr>
      <t>0</t>
    </r>
    <phoneticPr fontId="5" type="noConversion"/>
  </si>
  <si>
    <t>群体攻击，大范围眩晕，范围太大，削减0.1的攻击</t>
    <phoneticPr fontId="5" type="noConversion"/>
  </si>
  <si>
    <t>肥肥蛮兵+1</t>
    <phoneticPr fontId="5" type="noConversion"/>
  </si>
  <si>
    <t>肥肥蛮兵+2</t>
  </si>
  <si>
    <t>肥肥蛮兵+3</t>
  </si>
  <si>
    <t>肥肥蛮兵+4</t>
  </si>
  <si>
    <t>肥肥蛮兵+5</t>
  </si>
  <si>
    <t>肥肥蛮兵+6</t>
  </si>
  <si>
    <t>肥肥蛮兵+7</t>
  </si>
  <si>
    <t>肥肥蛮兵+8</t>
  </si>
  <si>
    <t>肥肥蛮兵+9</t>
  </si>
  <si>
    <t>肥肥蛮兵+10</t>
  </si>
  <si>
    <t>肥肥蛮兵普攻</t>
    <phoneticPr fontId="5" type="noConversion"/>
  </si>
  <si>
    <t>肥肥蛮兵普攻+1</t>
    <phoneticPr fontId="5" type="noConversion"/>
  </si>
  <si>
    <t>肥肥蛮兵</t>
    <phoneticPr fontId="5" type="noConversion"/>
  </si>
  <si>
    <t>肥肥蛮兵碎片</t>
    <phoneticPr fontId="5" type="noConversion"/>
  </si>
  <si>
    <t>城堡普攻</t>
  </si>
  <si>
    <t>城堡普攻+1</t>
  </si>
  <si>
    <t>兔子弓手</t>
    <phoneticPr fontId="5" type="noConversion"/>
  </si>
  <si>
    <t>兔子战士</t>
    <phoneticPr fontId="5" type="noConversion"/>
  </si>
  <si>
    <t>暴走兔弓</t>
    <phoneticPr fontId="5" type="noConversion"/>
  </si>
  <si>
    <t>暴走兔弓+1</t>
    <phoneticPr fontId="5" type="noConversion"/>
  </si>
  <si>
    <t>暴走兔弓+2</t>
    <phoneticPr fontId="5" type="noConversion"/>
  </si>
  <si>
    <t>暴走兔弓+3</t>
    <phoneticPr fontId="5" type="noConversion"/>
  </si>
  <si>
    <t>暴走兔弓+4</t>
    <phoneticPr fontId="5" type="noConversion"/>
  </si>
  <si>
    <t>暴走兔弓+5</t>
    <phoneticPr fontId="5" type="noConversion"/>
  </si>
  <si>
    <t>暴走兔弓+6</t>
    <phoneticPr fontId="5" type="noConversion"/>
  </si>
  <si>
    <t>暴走兔弓+7</t>
    <phoneticPr fontId="5" type="noConversion"/>
  </si>
  <si>
    <t>暴走兔弓+8</t>
    <phoneticPr fontId="5" type="noConversion"/>
  </si>
  <si>
    <t>暴走兔弓+9</t>
    <phoneticPr fontId="5" type="noConversion"/>
  </si>
  <si>
    <t>暴走兔弓+10</t>
    <phoneticPr fontId="5" type="noConversion"/>
  </si>
  <si>
    <t>暴走兔战</t>
    <phoneticPr fontId="5" type="noConversion"/>
  </si>
  <si>
    <t>暴走兔战+1</t>
    <phoneticPr fontId="5" type="noConversion"/>
  </si>
  <si>
    <t>暴走兔战+2</t>
    <phoneticPr fontId="5" type="noConversion"/>
  </si>
  <si>
    <t>暴走兔战+3</t>
    <phoneticPr fontId="5" type="noConversion"/>
  </si>
  <si>
    <t>暴走兔战+4</t>
    <phoneticPr fontId="5" type="noConversion"/>
  </si>
  <si>
    <t>暴走兔战+5</t>
    <phoneticPr fontId="5" type="noConversion"/>
  </si>
  <si>
    <t>暴走兔战+6</t>
    <phoneticPr fontId="5" type="noConversion"/>
  </si>
  <si>
    <t>暴走兔战+7</t>
    <phoneticPr fontId="5" type="noConversion"/>
  </si>
  <si>
    <t>暴走兔战+8</t>
    <phoneticPr fontId="5" type="noConversion"/>
  </si>
  <si>
    <t>暴走兔战+9</t>
    <phoneticPr fontId="5" type="noConversion"/>
  </si>
  <si>
    <t>暴走兔战+10</t>
    <phoneticPr fontId="5" type="noConversion"/>
  </si>
  <si>
    <t>暴走兔射箭</t>
    <phoneticPr fontId="5" type="noConversion"/>
  </si>
  <si>
    <t>暴走兔射箭+1</t>
    <phoneticPr fontId="5" type="noConversion"/>
  </si>
  <si>
    <t>暴走兔毒箭+4</t>
  </si>
  <si>
    <t>暴走兔毒箭+5</t>
  </si>
  <si>
    <t>暴走兔毒箭+6</t>
  </si>
  <si>
    <t>暴走兔毒箭+7</t>
  </si>
  <si>
    <t>暴走兔毒箭+8</t>
  </si>
  <si>
    <t>暴走兔毒箭+9</t>
  </si>
  <si>
    <t>暴走兔毒箭+10</t>
  </si>
  <si>
    <t>暴走兔平砍</t>
    <phoneticPr fontId="5" type="noConversion"/>
  </si>
  <si>
    <t>暴走兔平砍+1</t>
    <phoneticPr fontId="5" type="noConversion"/>
  </si>
  <si>
    <t>暴走兔平砍+2</t>
  </si>
  <si>
    <t>暴走兔平砍+3</t>
  </si>
  <si>
    <t>暴走兔平砍+4</t>
  </si>
  <si>
    <t>暴走兔平砍+5</t>
  </si>
  <si>
    <t>暴走兔平砍+6</t>
  </si>
  <si>
    <t>暴走兔平砍+7</t>
  </si>
  <si>
    <t>暴走兔平砍+8</t>
  </si>
  <si>
    <t>暴走兔平砍+9</t>
  </si>
  <si>
    <t>暴走兔平砍+10</t>
  </si>
  <si>
    <t>暴走兔致命毒药+0</t>
    <phoneticPr fontId="5" type="noConversion"/>
  </si>
  <si>
    <t>暴走兔致命毒药+1</t>
  </si>
  <si>
    <t>暴走兔致命毒药+2</t>
  </si>
  <si>
    <t>暴走兔致命毒药+3</t>
  </si>
  <si>
    <t>暴走兔致命毒药+4</t>
  </si>
  <si>
    <t>暴走兔致命毒药+5</t>
  </si>
  <si>
    <t>暴走兔致命毒药+6</t>
  </si>
  <si>
    <t>暴走兔致命毒药+7</t>
  </si>
  <si>
    <t>暴走兔致命毒药+8</t>
  </si>
  <si>
    <t>暴走兔致命毒药+9</t>
  </si>
  <si>
    <t>暴走兔致命毒药+10</t>
  </si>
  <si>
    <t>柱子击杀时间</t>
    <phoneticPr fontId="5" type="noConversion"/>
  </si>
  <si>
    <t>场上DPS</t>
    <phoneticPr fontId="5" type="noConversion"/>
  </si>
  <si>
    <t>柱子血量</t>
    <phoneticPr fontId="5" type="noConversion"/>
  </si>
  <si>
    <t>小怪总血量</t>
    <phoneticPr fontId="5" type="noConversion"/>
  </si>
  <si>
    <t>小怪击杀时间</t>
    <phoneticPr fontId="5" type="noConversion"/>
  </si>
  <si>
    <t>堆费时间</t>
    <phoneticPr fontId="5" type="noConversion"/>
  </si>
  <si>
    <t>点燃秒伤</t>
    <phoneticPr fontId="5" type="noConversion"/>
  </si>
  <si>
    <t>平均费用</t>
    <phoneticPr fontId="5" type="noConversion"/>
  </si>
  <si>
    <t>耗费百分比</t>
    <phoneticPr fontId="5" type="noConversion"/>
  </si>
  <si>
    <t>总耗费</t>
    <phoneticPr fontId="5" type="noConversion"/>
  </si>
  <si>
    <t>总消耗血量</t>
    <phoneticPr fontId="5" type="noConversion"/>
  </si>
  <si>
    <t>剩余费用</t>
    <phoneticPr fontId="5" type="noConversion"/>
  </si>
  <si>
    <t>点燃耗费占比</t>
    <phoneticPr fontId="5" type="noConversion"/>
  </si>
  <si>
    <t>兔战士占比_攻</t>
    <phoneticPr fontId="5" type="noConversion"/>
  </si>
  <si>
    <t>兔弓占比_攻</t>
    <phoneticPr fontId="5" type="noConversion"/>
  </si>
  <si>
    <t>兔战士占比_血</t>
    <phoneticPr fontId="5" type="noConversion"/>
  </si>
  <si>
    <t>兔弓占比_血</t>
    <phoneticPr fontId="5" type="noConversion"/>
  </si>
  <si>
    <t>暴走兔战士</t>
    <phoneticPr fontId="5" type="noConversion"/>
  </si>
  <si>
    <t>暴走兔弓手</t>
    <phoneticPr fontId="5" type="noConversion"/>
  </si>
  <si>
    <t>4费用游侠，3费身材，可以群拉，并减速</t>
    <phoneticPr fontId="5" type="noConversion"/>
  </si>
  <si>
    <t>女巫治疗刷心灵之火</t>
    <phoneticPr fontId="5" type="noConversion"/>
  </si>
  <si>
    <t>女巫治疗刷心灵之火+1</t>
    <phoneticPr fontId="5" type="noConversion"/>
  </si>
  <si>
    <t>女巫治疗刷心灵之火+2</t>
  </si>
  <si>
    <t>女巫治疗刷心灵之火+3</t>
  </si>
  <si>
    <t>女巫治疗刷心灵之火+4</t>
  </si>
  <si>
    <t>女巫治疗刷心灵之火+5</t>
  </si>
  <si>
    <t>女巫治疗刷心灵之火+6</t>
  </si>
  <si>
    <t>女巫治疗刷心灵之火+7</t>
  </si>
  <si>
    <t>女巫治疗刷心灵之火+8</t>
  </si>
  <si>
    <t>女巫治疗刷心灵之火+9</t>
  </si>
  <si>
    <t>女巫治疗刷心灵之火+10</t>
  </si>
  <si>
    <t>每3秒释放一次治疗，攻血系数为(0.4,0.8)，治疗系数为2，每3次治疗触发心灵之火，攻防提升(15%,30%)</t>
    <phoneticPr fontId="5" type="noConversion"/>
  </si>
  <si>
    <t>普攻带毒</t>
    <phoneticPr fontId="5" type="noConversion"/>
  </si>
  <si>
    <t>力士普攻自残</t>
    <phoneticPr fontId="5" type="noConversion"/>
  </si>
  <si>
    <t>力士普攻自残+1</t>
    <phoneticPr fontId="5" type="noConversion"/>
  </si>
  <si>
    <t>力士普攻自残+2</t>
    <phoneticPr fontId="5" type="noConversion"/>
  </si>
  <si>
    <t>力士普攻自残+3</t>
    <phoneticPr fontId="5" type="noConversion"/>
  </si>
  <si>
    <t>力士普攻自残+4</t>
    <phoneticPr fontId="5" type="noConversion"/>
  </si>
  <si>
    <t>力士普攻自残+5</t>
    <phoneticPr fontId="5" type="noConversion"/>
  </si>
  <si>
    <t>力士普攻自残+6</t>
    <phoneticPr fontId="5" type="noConversion"/>
  </si>
  <si>
    <t>力士普攻自残+7</t>
    <phoneticPr fontId="5" type="noConversion"/>
  </si>
  <si>
    <t>力士普攻自残+8</t>
    <phoneticPr fontId="5" type="noConversion"/>
  </si>
  <si>
    <t>力士普攻自残+9</t>
    <phoneticPr fontId="5" type="noConversion"/>
  </si>
  <si>
    <t>力士普攻自残+10</t>
    <phoneticPr fontId="5" type="noConversion"/>
  </si>
  <si>
    <t>血量调整</t>
    <phoneticPr fontId="5" type="noConversion"/>
  </si>
  <si>
    <t>近战最终剩血</t>
    <phoneticPr fontId="5" type="noConversion"/>
  </si>
  <si>
    <t>远程血量</t>
    <phoneticPr fontId="5" type="noConversion"/>
  </si>
  <si>
    <t>游侠</t>
    <phoneticPr fontId="5" type="noConversion"/>
  </si>
  <si>
    <t>巫师</t>
    <phoneticPr fontId="5" type="noConversion"/>
  </si>
  <si>
    <t>射手</t>
    <phoneticPr fontId="5" type="noConversion"/>
  </si>
  <si>
    <t>英雄法术伤害标模型</t>
    <phoneticPr fontId="5" type="noConversion"/>
  </si>
  <si>
    <t>法术费用</t>
    <phoneticPr fontId="5" type="noConversion"/>
  </si>
  <si>
    <t>标准系数</t>
    <phoneticPr fontId="5" type="noConversion"/>
  </si>
  <si>
    <t>进阶</t>
    <phoneticPr fontId="5" type="noConversion"/>
  </si>
  <si>
    <t>星级</t>
    <phoneticPr fontId="5" type="noConversion"/>
  </si>
  <si>
    <t>暴风步兵盾击</t>
    <phoneticPr fontId="5" type="noConversion"/>
  </si>
  <si>
    <t>暴风步兵盾击+1</t>
    <phoneticPr fontId="5" type="noConversion"/>
  </si>
  <si>
    <t>暴风步兵盾击+2</t>
  </si>
  <si>
    <t>暴风步兵盾击+3</t>
  </si>
  <si>
    <t>暴风步兵盾击+4</t>
  </si>
  <si>
    <t>暴风步兵盾击+5</t>
  </si>
  <si>
    <t>暴风步兵盾击+6</t>
  </si>
  <si>
    <t>暴风步兵盾击+7</t>
  </si>
  <si>
    <t>暴风步兵盾击+8</t>
  </si>
  <si>
    <t>暴风步兵盾击+9</t>
  </si>
  <si>
    <t>暴风步兵盾击+10</t>
  </si>
  <si>
    <t>暴走兔弓</t>
  </si>
  <si>
    <t>暴走兔弓+1</t>
  </si>
  <si>
    <t>暴走兔弓+2</t>
  </si>
  <si>
    <t>暴走兔弓+3</t>
  </si>
  <si>
    <t>暴走兔弓+4</t>
  </si>
  <si>
    <t>暴走兔弓+5</t>
  </si>
  <si>
    <t>暴走兔弓+6</t>
  </si>
  <si>
    <t>暴走兔弓+7</t>
  </si>
  <si>
    <t>暴走兔弓+8</t>
  </si>
  <si>
    <t>暴走兔弓+9</t>
  </si>
  <si>
    <t>暴走兔弓+10</t>
  </si>
  <si>
    <t>暴走兔战</t>
  </si>
  <si>
    <t>暴走兔战+1</t>
  </si>
  <si>
    <t>暴走兔战+2</t>
  </si>
  <si>
    <t>暴走兔战+3</t>
  </si>
  <si>
    <t>暴走兔战+4</t>
  </si>
  <si>
    <t>暴走兔战+5</t>
  </si>
  <si>
    <t>暴走兔战+6</t>
  </si>
  <si>
    <t>暴走兔战+7</t>
  </si>
  <si>
    <t>暴走兔战+8</t>
  </si>
  <si>
    <t>暴走兔战+9</t>
  </si>
  <si>
    <t>暴走兔战+10</t>
  </si>
  <si>
    <t>暴走兔弓碎片</t>
  </si>
  <si>
    <t>暴走兔战碎片</t>
    <phoneticPr fontId="5" type="noConversion"/>
  </si>
  <si>
    <t>组队副本2：
阶段1，有4个柱子，分别是移动，防御，攻击，攻速。这些柱子每5秒给BUSS加持一层BUFF，0.3速度，5%防御，15%攻击，12%攻速。每个柱子的血量计算时间为12秒，上限12层。
阶段2，BOSS喊出我来陪你们玩玩，这一阶段，BOSS只会普攻，给玩家喘息时间。BOSS普攻伤害，认为可以消耗掉25%的玩家T费用(认为留给玩家30%的费用输出)。
阶段3，BOSS喊出让你们看看我真正的实力，这一阶段，BOSS一旦杀死一个单位，就会发动一个范围AOE，并且带晕。并且时不时点名玩家非T单位，让其变成BOSS小弟。还会在脚下召唤恢复光环，恢复生命。当场上没有单位时，每10秒给自己施加一个攻击BUFF，提升攻击20%，可叠5层。</t>
    <phoneticPr fontId="5" type="noConversion"/>
  </si>
  <si>
    <t>5费快速战士，攻血（0.8，0.9）的系数，起手斩杀时，会有50%的移速和100%的攻击力提升，斩杀后生命回复2倍标准攻击，在攻击后消失</t>
    <phoneticPr fontId="5" type="noConversion"/>
  </si>
  <si>
    <t>每7秒吞噬一个单位</t>
    <phoneticPr fontId="5" type="noConversion"/>
  </si>
  <si>
    <t>AI英雄-阴阳师</t>
    <phoneticPr fontId="5" type="noConversion"/>
  </si>
  <si>
    <t>AI英雄-暴风女</t>
    <phoneticPr fontId="5" type="noConversion"/>
  </si>
  <si>
    <t>AI英雄-喵夫人</t>
    <phoneticPr fontId="5" type="noConversion"/>
  </si>
  <si>
    <t>给10%护甲</t>
    <phoneticPr fontId="5" type="noConversion"/>
  </si>
  <si>
    <t>蓝晶石</t>
    <phoneticPr fontId="5" type="noConversion"/>
  </si>
  <si>
    <t>功能性法术补护盾+1</t>
    <phoneticPr fontId="5" type="noConversion"/>
  </si>
  <si>
    <t>功能性法术补护盾+2</t>
    <phoneticPr fontId="5" type="noConversion"/>
  </si>
  <si>
    <t>功能性法术补护盾+3</t>
    <phoneticPr fontId="5" type="noConversion"/>
  </si>
  <si>
    <t>功能性法术补护盾+4</t>
    <phoneticPr fontId="5" type="noConversion"/>
  </si>
  <si>
    <r>
      <t>功能性法术补伤害+</t>
    </r>
    <r>
      <rPr>
        <sz val="11"/>
        <color theme="1"/>
        <rFont val="宋体"/>
        <family val="2"/>
        <scheme val="minor"/>
      </rPr>
      <t>1</t>
    </r>
    <r>
      <rPr>
        <sz val="11"/>
        <color theme="1"/>
        <rFont val="宋体"/>
        <family val="2"/>
        <charset val="134"/>
        <scheme val="minor"/>
      </rPr>
      <t/>
    </r>
    <phoneticPr fontId="5" type="noConversion"/>
  </si>
  <si>
    <r>
      <t>功能性法术补伤害+</t>
    </r>
    <r>
      <rPr>
        <sz val="11"/>
        <color theme="1"/>
        <rFont val="宋体"/>
        <family val="2"/>
        <scheme val="minor"/>
      </rPr>
      <t>2</t>
    </r>
    <r>
      <rPr>
        <sz val="11"/>
        <color theme="1"/>
        <rFont val="宋体"/>
        <family val="2"/>
        <charset val="134"/>
        <scheme val="minor"/>
      </rPr>
      <t/>
    </r>
    <phoneticPr fontId="5" type="noConversion"/>
  </si>
  <si>
    <r>
      <t>功能性法术补伤害+</t>
    </r>
    <r>
      <rPr>
        <sz val="11"/>
        <color theme="1"/>
        <rFont val="宋体"/>
        <family val="2"/>
        <scheme val="minor"/>
      </rPr>
      <t>3</t>
    </r>
    <r>
      <rPr>
        <sz val="11"/>
        <color theme="1"/>
        <rFont val="宋体"/>
        <family val="2"/>
        <charset val="134"/>
        <scheme val="minor"/>
      </rPr>
      <t/>
    </r>
    <phoneticPr fontId="5" type="noConversion"/>
  </si>
  <si>
    <r>
      <t>功能性法术补伤害+</t>
    </r>
    <r>
      <rPr>
        <sz val="11"/>
        <color theme="1"/>
        <rFont val="宋体"/>
        <family val="2"/>
        <scheme val="minor"/>
      </rPr>
      <t>4</t>
    </r>
    <r>
      <rPr>
        <sz val="11"/>
        <color theme="1"/>
        <rFont val="宋体"/>
        <family val="2"/>
        <charset val="134"/>
        <scheme val="minor"/>
      </rPr>
      <t/>
    </r>
    <phoneticPr fontId="5" type="noConversion"/>
  </si>
  <si>
    <t>肥肥蛮兵普攻+2</t>
    <phoneticPr fontId="5" type="noConversion"/>
  </si>
  <si>
    <t>肥肥蛮兵普攻+3</t>
    <phoneticPr fontId="5" type="noConversion"/>
  </si>
  <si>
    <t>肥肥蛮兵普攻+4</t>
    <phoneticPr fontId="5" type="noConversion"/>
  </si>
  <si>
    <t>肥肥蛮兵普攻+5</t>
    <phoneticPr fontId="5" type="noConversion"/>
  </si>
  <si>
    <t>肥肥蛮兵普攻+6</t>
    <phoneticPr fontId="5" type="noConversion"/>
  </si>
  <si>
    <t>肥肥蛮兵普攻+7</t>
    <phoneticPr fontId="5" type="noConversion"/>
  </si>
  <si>
    <t>肥肥蛮兵普攻+8</t>
    <phoneticPr fontId="5" type="noConversion"/>
  </si>
  <si>
    <t>肥肥蛮兵普攻+9</t>
    <phoneticPr fontId="5" type="noConversion"/>
  </si>
  <si>
    <t>肥肥蛮兵普攻+10</t>
    <phoneticPr fontId="5" type="noConversion"/>
  </si>
  <si>
    <t>暴走兔射箭+2</t>
    <phoneticPr fontId="5" type="noConversion"/>
  </si>
  <si>
    <t>暴走兔射箭+3</t>
    <phoneticPr fontId="5" type="noConversion"/>
  </si>
  <si>
    <t>暴走兔射箭+4</t>
    <phoneticPr fontId="5" type="noConversion"/>
  </si>
  <si>
    <t>暴走兔射箭+5</t>
    <phoneticPr fontId="5" type="noConversion"/>
  </si>
  <si>
    <t>暴走兔射箭+6</t>
    <phoneticPr fontId="5" type="noConversion"/>
  </si>
  <si>
    <t>暴走兔射箭+7</t>
    <phoneticPr fontId="5" type="noConversion"/>
  </si>
  <si>
    <t>暴走兔射箭+8</t>
    <phoneticPr fontId="5" type="noConversion"/>
  </si>
  <si>
    <t>暴走兔射箭+9</t>
    <phoneticPr fontId="5" type="noConversion"/>
  </si>
  <si>
    <t>暴走兔射箭+10</t>
    <phoneticPr fontId="5" type="noConversion"/>
  </si>
  <si>
    <t>暴走兔毒箭</t>
    <phoneticPr fontId="5" type="noConversion"/>
  </si>
  <si>
    <t>暴走兔毒箭+1</t>
    <phoneticPr fontId="5" type="noConversion"/>
  </si>
  <si>
    <t>暴走兔毒箭+2</t>
    <phoneticPr fontId="5" type="noConversion"/>
  </si>
  <si>
    <t>暴走兔毒箭+3</t>
    <phoneticPr fontId="5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</si>
</sst>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.00_);[Red]\(0.00\)"/>
  </numFmts>
  <fonts count="17" x14ac:knownFonts="1">
    <font>
      <sz val="11"/>
      <color theme="1"/>
      <name val="宋体"/>
      <family val="2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scheme val="minor"/>
    </font>
    <font>
      <sz val="16"/>
      <color theme="1"/>
      <name val="宋体"/>
      <family val="2"/>
      <scheme val="minor"/>
    </font>
    <font>
      <sz val="9"/>
      <name val="宋体"/>
      <family val="3"/>
      <charset val="134"/>
      <scheme val="minor"/>
    </font>
    <font>
      <b/>
      <sz val="18"/>
      <color theme="3"/>
      <name val="宋体"/>
      <family val="2"/>
      <charset val="134"/>
      <scheme val="major"/>
    </font>
    <font>
      <sz val="11"/>
      <color theme="1"/>
      <name val="宋体"/>
      <family val="3"/>
      <charset val="134"/>
      <scheme val="minor"/>
    </font>
    <font>
      <sz val="11"/>
      <color theme="1"/>
      <name val="宋体"/>
      <family val="2"/>
      <scheme val="major"/>
    </font>
    <font>
      <b/>
      <sz val="11"/>
      <color theme="1"/>
      <name val="宋体"/>
      <family val="3"/>
      <charset val="134"/>
      <scheme val="minor"/>
    </font>
    <font>
      <sz val="9"/>
      <name val="宋体"/>
      <family val="2"/>
      <charset val="134"/>
      <scheme val="minor"/>
    </font>
    <font>
      <b/>
      <sz val="9"/>
      <color indexed="81"/>
      <name val="宋体"/>
      <family val="3"/>
      <charset val="134"/>
    </font>
    <font>
      <sz val="9"/>
      <color indexed="81"/>
      <name val="宋体"/>
      <family val="3"/>
      <charset val="134"/>
    </font>
    <font>
      <strike/>
      <sz val="11"/>
      <color theme="1"/>
      <name val="宋体"/>
      <family val="3"/>
      <scheme val="minor"/>
    </font>
    <font>
      <sz val="11"/>
      <color rgb="FF9C6500"/>
      <name val="宋体"/>
      <family val="2"/>
      <charset val="134"/>
      <scheme val="minor"/>
    </font>
    <font>
      <sz val="11"/>
      <color rgb="FF006100"/>
      <name val="宋体"/>
      <family val="2"/>
      <charset val="134"/>
      <scheme val="minor"/>
    </font>
    <font>
      <b/>
      <sz val="11"/>
      <color theme="1"/>
      <name val="宋体"/>
      <family val="3"/>
      <scheme val="minor"/>
    </font>
  </fonts>
  <fills count="16">
    <fill>
      <patternFill patternType="none"/>
    </fill>
    <fill>
      <patternFill patternType="gray125"/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34934537797173987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8" tint="0.39997558519241921"/>
        <bgColor indexed="64"/>
      </patternFill>
    </fill>
    <fill>
      <patternFill patternType="solid">
        <fgColor rgb="FFC6EFCE"/>
      </patternFill>
    </fill>
  </fills>
  <borders count="5">
    <border>
      <left/>
      <right/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</borders>
  <cellStyleXfs count="13">
    <xf numFmtId="0" fontId="0" fillId="0" borderId="0"/>
    <xf numFmtId="0" fontId="4" fillId="0" borderId="1">
      <alignment horizontal="center" vertical="center"/>
    </xf>
    <xf numFmtId="0" fontId="3" fillId="0" borderId="2">
      <alignment vertical="top" wrapText="1"/>
    </xf>
    <xf numFmtId="0" fontId="6" fillId="0" borderId="0" applyNumberFormat="0" applyFill="0" applyBorder="0" applyAlignment="0" applyProtection="0">
      <alignment vertical="center"/>
    </xf>
    <xf numFmtId="0" fontId="8" fillId="2" borderId="2">
      <alignment horizontal="center" vertical="center" shrinkToFit="1"/>
    </xf>
    <xf numFmtId="0" fontId="7" fillId="3" borderId="2">
      <alignment vertical="top" shrinkToFit="1"/>
    </xf>
    <xf numFmtId="0" fontId="3" fillId="4" borderId="2" applyFont="0">
      <alignment horizontal="center" vertical="center" wrapText="1"/>
    </xf>
    <xf numFmtId="0" fontId="3" fillId="0" borderId="2">
      <alignment horizontal="center" vertical="center" wrapText="1"/>
    </xf>
    <xf numFmtId="0" fontId="3" fillId="7" borderId="2">
      <alignment horizontal="center" vertical="center" wrapText="1"/>
    </xf>
    <xf numFmtId="0" fontId="3" fillId="0" borderId="0">
      <alignment vertical="center"/>
    </xf>
    <xf numFmtId="0" fontId="13" fillId="11" borderId="0"/>
    <xf numFmtId="0" fontId="3" fillId="0" borderId="0">
      <alignment vertical="center"/>
    </xf>
    <xf numFmtId="0" fontId="15" fillId="15" borderId="0" applyNumberFormat="0" applyBorder="0" applyAlignment="0" applyProtection="0">
      <alignment vertical="center"/>
    </xf>
  </cellStyleXfs>
  <cellXfs count="104">
    <xf numFmtId="0" fontId="0" fillId="0" borderId="0" xfId="0"/>
    <xf numFmtId="0" fontId="0" fillId="4" borderId="2" xfId="6" applyFont="1">
      <alignment horizontal="center" vertical="center" wrapText="1"/>
    </xf>
    <xf numFmtId="0" fontId="8" fillId="4" borderId="2" xfId="6" applyFont="1">
      <alignment horizontal="center" vertical="center" wrapText="1"/>
    </xf>
    <xf numFmtId="0" fontId="0" fillId="0" borderId="0" xfId="0" applyAlignment="1">
      <alignment horizontal="center" vertical="center"/>
    </xf>
    <xf numFmtId="0" fontId="3" fillId="0" borderId="2" xfId="7">
      <alignment horizontal="center" vertical="center" wrapText="1"/>
    </xf>
    <xf numFmtId="0" fontId="3" fillId="5" borderId="2" xfId="2" applyFill="1">
      <alignment vertical="top" wrapText="1"/>
    </xf>
    <xf numFmtId="0" fontId="3" fillId="2" borderId="2" xfId="2" applyFill="1">
      <alignment vertical="top" wrapText="1"/>
    </xf>
    <xf numFmtId="0" fontId="3" fillId="6" borderId="2" xfId="2" applyFill="1">
      <alignment vertical="top" wrapText="1"/>
    </xf>
    <xf numFmtId="0" fontId="0" fillId="0" borderId="2" xfId="7" applyFont="1">
      <alignment horizontal="center" vertical="center" wrapText="1"/>
    </xf>
    <xf numFmtId="0" fontId="0" fillId="0" borderId="3" xfId="7" applyFont="1" applyFill="1" applyBorder="1">
      <alignment horizontal="center" vertical="center" wrapText="1"/>
    </xf>
    <xf numFmtId="0" fontId="3" fillId="0" borderId="2" xfId="7">
      <alignment horizontal="center" vertical="center" wrapText="1"/>
    </xf>
    <xf numFmtId="0" fontId="8" fillId="2" borderId="2" xfId="4">
      <alignment horizontal="center" vertical="center" shrinkToFit="1"/>
    </xf>
    <xf numFmtId="0" fontId="3" fillId="0" borderId="2" xfId="7">
      <alignment horizontal="center" vertical="center" wrapText="1"/>
    </xf>
    <xf numFmtId="0" fontId="4" fillId="0" borderId="1" xfId="1">
      <alignment horizontal="center" vertical="center"/>
    </xf>
    <xf numFmtId="0" fontId="0" fillId="4" borderId="2" xfId="6" applyFont="1">
      <alignment horizontal="center" vertical="center" wrapText="1"/>
    </xf>
    <xf numFmtId="0" fontId="3" fillId="7" borderId="2" xfId="8">
      <alignment horizontal="center" vertical="center" wrapText="1"/>
    </xf>
    <xf numFmtId="0" fontId="0" fillId="0" borderId="0" xfId="0" applyAlignment="1"/>
    <xf numFmtId="0" fontId="0" fillId="0" borderId="0" xfId="0"/>
    <xf numFmtId="0" fontId="0" fillId="0" borderId="0" xfId="0"/>
    <xf numFmtId="0" fontId="0" fillId="0" borderId="0" xfId="0"/>
    <xf numFmtId="0" fontId="0" fillId="0" borderId="0" xfId="0"/>
    <xf numFmtId="0" fontId="0" fillId="4" borderId="2" xfId="6" applyFont="1">
      <alignment horizontal="center" vertical="center" wrapText="1"/>
    </xf>
    <xf numFmtId="0" fontId="0" fillId="4" borderId="2" xfId="6" applyFont="1">
      <alignment horizontal="center" vertical="center" wrapText="1"/>
    </xf>
    <xf numFmtId="0" fontId="3" fillId="10" borderId="2" xfId="2" applyFill="1">
      <alignment vertical="top" wrapText="1"/>
    </xf>
    <xf numFmtId="0" fontId="9" fillId="8" borderId="0" xfId="0" applyFont="1" applyFill="1"/>
    <xf numFmtId="10" fontId="3" fillId="7" borderId="2" xfId="8" applyNumberFormat="1">
      <alignment horizontal="center" vertical="center" wrapText="1"/>
    </xf>
    <xf numFmtId="10" fontId="0" fillId="7" borderId="2" xfId="8" applyNumberFormat="1" applyFont="1">
      <alignment horizontal="center" vertical="center" wrapText="1"/>
    </xf>
    <xf numFmtId="0" fontId="0" fillId="0" borderId="0" xfId="0"/>
    <xf numFmtId="0" fontId="0" fillId="4" borderId="2" xfId="6" applyFont="1">
      <alignment horizontal="center" vertical="center" wrapText="1"/>
    </xf>
    <xf numFmtId="0" fontId="9" fillId="8" borderId="0" xfId="0" applyFont="1" applyFill="1" applyAlignment="1">
      <alignment horizontal="center" vertical="top"/>
    </xf>
    <xf numFmtId="0" fontId="0" fillId="0" borderId="0" xfId="0"/>
    <xf numFmtId="0" fontId="0" fillId="0" borderId="0" xfId="0" applyAlignment="1">
      <alignment horizontal="center" vertical="center"/>
    </xf>
    <xf numFmtId="0" fontId="7" fillId="0" borderId="0" xfId="0" applyFont="1" applyAlignment="1">
      <alignment horizontal="center" vertical="center"/>
    </xf>
    <xf numFmtId="0" fontId="7" fillId="0" borderId="0" xfId="0" applyFont="1" applyFill="1"/>
    <xf numFmtId="0" fontId="7" fillId="9" borderId="0" xfId="0" applyFont="1" applyFill="1" applyAlignment="1">
      <alignment horizontal="center" vertical="center"/>
    </xf>
    <xf numFmtId="0" fontId="0" fillId="0" borderId="0" xfId="0" applyAlignment="1">
      <alignment horizontal="center"/>
    </xf>
    <xf numFmtId="0" fontId="9" fillId="8" borderId="0" xfId="0" applyFont="1" applyFill="1" applyAlignment="1">
      <alignment vertical="top"/>
    </xf>
    <xf numFmtId="0" fontId="0" fillId="0" borderId="0" xfId="0" applyAlignment="1"/>
    <xf numFmtId="0" fontId="7" fillId="0" borderId="0" xfId="0" applyFont="1"/>
    <xf numFmtId="0" fontId="7" fillId="9" borderId="0" xfId="0" applyFont="1" applyFill="1"/>
    <xf numFmtId="0" fontId="7" fillId="0" borderId="0" xfId="0" applyFont="1" applyFill="1" applyAlignment="1">
      <alignment vertical="center"/>
    </xf>
    <xf numFmtId="0" fontId="0" fillId="0" borderId="0" xfId="0"/>
    <xf numFmtId="0" fontId="0" fillId="0" borderId="0" xfId="0"/>
    <xf numFmtId="0" fontId="0" fillId="4" borderId="2" xfId="6" applyFont="1">
      <alignment horizontal="center" vertical="center" wrapText="1"/>
    </xf>
    <xf numFmtId="0" fontId="0" fillId="0" borderId="0" xfId="0"/>
    <xf numFmtId="0" fontId="9" fillId="8" borderId="0" xfId="0" applyFont="1" applyFill="1" applyAlignment="1">
      <alignment horizontal="center"/>
    </xf>
    <xf numFmtId="0" fontId="3" fillId="0" borderId="3" xfId="7" applyFill="1" applyBorder="1">
      <alignment horizontal="center" vertical="center" wrapText="1"/>
    </xf>
    <xf numFmtId="0" fontId="0" fillId="0" borderId="0" xfId="0"/>
    <xf numFmtId="0" fontId="0" fillId="0" borderId="0" xfId="0"/>
    <xf numFmtId="0" fontId="8" fillId="4" borderId="4" xfId="6" applyFont="1" applyBorder="1">
      <alignment horizontal="center" vertical="center" wrapText="1"/>
    </xf>
    <xf numFmtId="0" fontId="0" fillId="0" borderId="0" xfId="0"/>
    <xf numFmtId="0" fontId="0" fillId="0" borderId="0" xfId="0"/>
    <xf numFmtId="0" fontId="0" fillId="0" borderId="0" xfId="9" applyFont="1" applyFill="1" applyAlignment="1">
      <alignment vertical="center"/>
    </xf>
    <xf numFmtId="0" fontId="0" fillId="0" borderId="0" xfId="9" applyFont="1" applyAlignment="1">
      <alignment horizontal="center" vertical="center"/>
    </xf>
    <xf numFmtId="0" fontId="0" fillId="0" borderId="0" xfId="0"/>
    <xf numFmtId="0" fontId="3" fillId="0" borderId="2" xfId="2">
      <alignment vertical="top" wrapText="1"/>
    </xf>
    <xf numFmtId="0" fontId="0" fillId="0" borderId="2" xfId="2" applyFont="1">
      <alignment vertical="top" wrapText="1"/>
    </xf>
    <xf numFmtId="0" fontId="0" fillId="0" borderId="3" xfId="2" applyFont="1" applyFill="1" applyBorder="1">
      <alignment vertical="top" wrapText="1"/>
    </xf>
    <xf numFmtId="0" fontId="0" fillId="0" borderId="0" xfId="2" applyFont="1" applyFill="1" applyBorder="1">
      <alignment vertical="top" wrapText="1"/>
    </xf>
    <xf numFmtId="0" fontId="0" fillId="0" borderId="0" xfId="0"/>
    <xf numFmtId="0" fontId="0" fillId="0" borderId="0" xfId="0"/>
    <xf numFmtId="0" fontId="0" fillId="12" borderId="2" xfId="7" applyFont="1" applyFill="1">
      <alignment horizontal="center" vertical="center" wrapText="1"/>
    </xf>
    <xf numFmtId="0" fontId="0" fillId="13" borderId="2" xfId="7" applyFont="1" applyFill="1">
      <alignment horizontal="center" vertical="center" wrapText="1"/>
    </xf>
    <xf numFmtId="0" fontId="0" fillId="14" borderId="2" xfId="7" applyFont="1" applyFill="1">
      <alignment horizontal="center" vertical="center" wrapText="1"/>
    </xf>
    <xf numFmtId="0" fontId="3" fillId="0" borderId="0" xfId="2" applyFill="1" applyBorder="1">
      <alignment vertical="top" wrapText="1"/>
    </xf>
    <xf numFmtId="0" fontId="3" fillId="4" borderId="2" xfId="6">
      <alignment horizontal="center" vertical="center" wrapText="1"/>
    </xf>
    <xf numFmtId="0" fontId="0" fillId="0" borderId="0" xfId="0"/>
    <xf numFmtId="0" fontId="0" fillId="4" borderId="2" xfId="6" applyFont="1">
      <alignment horizontal="center" vertical="center" wrapText="1"/>
    </xf>
    <xf numFmtId="0" fontId="0" fillId="0" borderId="0" xfId="0"/>
    <xf numFmtId="0" fontId="0" fillId="0" borderId="0" xfId="0"/>
    <xf numFmtId="0" fontId="0" fillId="0" borderId="0" xfId="0"/>
    <xf numFmtId="0" fontId="0" fillId="4" borderId="2" xfId="6" applyFont="1">
      <alignment horizontal="center" vertical="center" wrapText="1"/>
    </xf>
    <xf numFmtId="0" fontId="0" fillId="4" borderId="2" xfId="6" applyFont="1">
      <alignment horizontal="center" vertical="center" wrapText="1"/>
    </xf>
    <xf numFmtId="0" fontId="0" fillId="0" borderId="0" xfId="11" applyFont="1" applyAlignment="1">
      <alignment vertical="center"/>
    </xf>
    <xf numFmtId="0" fontId="0" fillId="4" borderId="2" xfId="6" applyFont="1">
      <alignment horizontal="center" vertical="center" wrapText="1"/>
    </xf>
    <xf numFmtId="0" fontId="8" fillId="4" borderId="3" xfId="6" applyFont="1" applyBorder="1">
      <alignment horizontal="center" vertical="center" wrapText="1"/>
    </xf>
    <xf numFmtId="0" fontId="8" fillId="4" borderId="0" xfId="6" applyFont="1" applyBorder="1">
      <alignment horizontal="center" vertical="center" wrapText="1"/>
    </xf>
    <xf numFmtId="0" fontId="16" fillId="8" borderId="0" xfId="9" applyFont="1" applyFill="1" applyAlignment="1">
      <alignment horizontal="center" vertical="center"/>
    </xf>
    <xf numFmtId="0" fontId="15" fillId="15" borderId="0" xfId="12" applyAlignment="1"/>
    <xf numFmtId="0" fontId="0" fillId="0" borderId="0" xfId="11" applyFont="1" applyAlignment="1">
      <alignment horizontal="center" vertical="center"/>
    </xf>
    <xf numFmtId="0" fontId="3" fillId="0" borderId="0" xfId="11" applyAlignment="1">
      <alignment vertical="center"/>
    </xf>
    <xf numFmtId="0" fontId="3" fillId="0" borderId="0" xfId="11" applyFill="1" applyAlignment="1">
      <alignment vertical="center"/>
    </xf>
    <xf numFmtId="9" fontId="0" fillId="0" borderId="0" xfId="0" applyNumberFormat="1"/>
    <xf numFmtId="0" fontId="0" fillId="0" borderId="0" xfId="0" applyNumberFormat="1"/>
    <xf numFmtId="9" fontId="0" fillId="0" borderId="0" xfId="0" applyNumberFormat="1" applyAlignment="1">
      <alignment horizontal="center" vertical="center"/>
    </xf>
    <xf numFmtId="0" fontId="0" fillId="0" borderId="0" xfId="0" applyNumberFormat="1" applyAlignment="1">
      <alignment horizontal="center" vertical="center"/>
    </xf>
    <xf numFmtId="0" fontId="0" fillId="4" borderId="2" xfId="6" applyFont="1">
      <alignment horizontal="center" vertical="center" wrapText="1"/>
    </xf>
    <xf numFmtId="0" fontId="3" fillId="0" borderId="2" xfId="2">
      <alignment vertical="top" wrapText="1"/>
    </xf>
    <xf numFmtId="0" fontId="3" fillId="0" borderId="0" xfId="9">
      <alignment vertical="center"/>
    </xf>
    <xf numFmtId="0" fontId="8" fillId="2" borderId="4" xfId="4" applyBorder="1">
      <alignment horizontal="center" vertical="center" shrinkToFit="1"/>
    </xf>
    <xf numFmtId="0" fontId="0" fillId="0" borderId="0" xfId="0" applyFill="1" applyBorder="1" applyAlignment="1">
      <alignment horizontal="center" vertical="center"/>
    </xf>
    <xf numFmtId="0" fontId="0" fillId="4" borderId="2" xfId="6" applyFont="1">
      <alignment horizontal="center" vertical="center" wrapText="1"/>
    </xf>
    <xf numFmtId="0" fontId="0" fillId="0" borderId="0" xfId="11" applyFont="1" applyFill="1" applyAlignment="1">
      <alignment vertical="center"/>
    </xf>
    <xf numFmtId="0" fontId="0" fillId="4" borderId="2" xfId="6" applyFont="1">
      <alignment horizontal="center" vertical="center" wrapText="1"/>
    </xf>
    <xf numFmtId="0" fontId="4" fillId="0" borderId="1" xfId="1">
      <alignment horizontal="center" vertical="center"/>
    </xf>
    <xf numFmtId="176" fontId="3" fillId="7" borderId="2" xfId="8" applyNumberFormat="1">
      <alignment horizontal="center" vertical="center" wrapText="1"/>
    </xf>
    <xf numFmtId="0" fontId="0" fillId="4" borderId="2" xfId="6" applyFont="1">
      <alignment horizontal="center" vertical="center" wrapText="1"/>
    </xf>
    <xf numFmtId="0" fontId="4" fillId="0" borderId="1" xfId="1">
      <alignment horizontal="center" vertical="center"/>
    </xf>
    <xf numFmtId="0" fontId="3" fillId="4" borderId="2" xfId="6">
      <alignment horizontal="center" vertical="center" wrapText="1"/>
    </xf>
    <xf numFmtId="0" fontId="0" fillId="4" borderId="2" xfId="6" applyFont="1">
      <alignment horizontal="center" vertical="center" wrapText="1"/>
    </xf>
    <xf numFmtId="0" fontId="4" fillId="0" borderId="1" xfId="1" applyAlignment="1">
      <alignment horizontal="center" vertical="center"/>
    </xf>
    <xf numFmtId="0" fontId="4" fillId="4" borderId="2" xfId="6" applyFont="1">
      <alignment horizontal="center" vertical="center" wrapText="1"/>
    </xf>
    <xf numFmtId="0" fontId="3" fillId="0" borderId="2" xfId="2">
      <alignment vertical="top" wrapText="1"/>
    </xf>
    <xf numFmtId="0" fontId="0" fillId="0" borderId="2" xfId="2" applyFont="1">
      <alignment vertical="top" wrapText="1"/>
    </xf>
  </cellXfs>
  <cellStyles count="13">
    <cellStyle name="Grid" xfId="2"/>
    <cellStyle name="Grid_Center" xfId="7"/>
    <cellStyle name="Normal" xfId="9"/>
    <cellStyle name="变量类型" xfId="5"/>
    <cellStyle name="标题" xfId="3" builtinId="15" hidden="1"/>
    <cellStyle name="常规" xfId="0" builtinId="0"/>
    <cellStyle name="常规 2" xfId="11"/>
    <cellStyle name="大标题" xfId="1"/>
    <cellStyle name="好" xfId="12" builtinId="26"/>
    <cellStyle name="无效" xfId="10"/>
    <cellStyle name="因变Grid" xfId="8"/>
    <cellStyle name="英文标题" xfId="4"/>
    <cellStyle name="中文标题" xfId="6"/>
  </cellStyles>
  <dxfs count="8">
    <dxf>
      <fill>
        <patternFill>
          <bgColor theme="9" tint="-0.24994659260841701"/>
        </patternFill>
      </fill>
    </dxf>
    <dxf>
      <fill>
        <patternFill>
          <bgColor rgb="FF7030A0"/>
        </patternFill>
      </fill>
    </dxf>
    <dxf>
      <fill>
        <patternFill>
          <bgColor theme="3" tint="0.39994506668294322"/>
        </patternFill>
      </fill>
    </dxf>
    <dxf>
      <fill>
        <patternFill>
          <bgColor theme="2" tint="-0.24994659260841701"/>
        </patternFill>
      </fill>
    </dxf>
    <dxf>
      <fill>
        <patternFill>
          <bgColor theme="9" tint="-0.24994659260841701"/>
        </patternFill>
      </fill>
    </dxf>
    <dxf>
      <fill>
        <patternFill>
          <bgColor rgb="FF7030A0"/>
        </patternFill>
      </fill>
    </dxf>
    <dxf>
      <fill>
        <patternFill>
          <bgColor theme="3" tint="0.39994506668294322"/>
        </patternFill>
      </fill>
    </dxf>
    <dxf>
      <fill>
        <patternFill>
          <bgColor theme="2" tint="-0.24994659260841701"/>
        </patternFill>
      </fill>
    </dxf>
  </dxfs>
  <tableStyles count="0" defaultTableStyle="TableStyleMedium2" defaultPivotStyle="PivotStyleMedium9"/>
  <colors>
    <mruColors>
      <color rgb="FFFF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381000</xdr:colOff>
      <xdr:row>36</xdr:row>
      <xdr:rowOff>0</xdr:rowOff>
    </xdr:from>
    <xdr:to>
      <xdr:col>3</xdr:col>
      <xdr:colOff>1651173</xdr:colOff>
      <xdr:row>36</xdr:row>
      <xdr:rowOff>1257300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71600" y="342900"/>
          <a:ext cx="1270173" cy="1257300"/>
        </a:xfrm>
        <a:prstGeom prst="rect">
          <a:avLst/>
        </a:prstGeom>
      </xdr:spPr>
    </xdr:pic>
    <xdr:clientData/>
  </xdr:twoCellAnchor>
  <xdr:twoCellAnchor editAs="oneCell">
    <xdr:from>
      <xdr:col>3</xdr:col>
      <xdr:colOff>342900</xdr:colOff>
      <xdr:row>33</xdr:row>
      <xdr:rowOff>19051</xdr:rowOff>
    </xdr:from>
    <xdr:to>
      <xdr:col>3</xdr:col>
      <xdr:colOff>1660883</xdr:colOff>
      <xdr:row>33</xdr:row>
      <xdr:rowOff>1219201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33500" y="1628776"/>
          <a:ext cx="1317983" cy="1200150"/>
        </a:xfrm>
        <a:prstGeom prst="rect">
          <a:avLst/>
        </a:prstGeom>
      </xdr:spPr>
    </xdr:pic>
    <xdr:clientData/>
  </xdr:twoCellAnchor>
  <xdr:twoCellAnchor editAs="oneCell">
    <xdr:from>
      <xdr:col>3</xdr:col>
      <xdr:colOff>352425</xdr:colOff>
      <xdr:row>12</xdr:row>
      <xdr:rowOff>19050</xdr:rowOff>
    </xdr:from>
    <xdr:to>
      <xdr:col>3</xdr:col>
      <xdr:colOff>1524000</xdr:colOff>
      <xdr:row>12</xdr:row>
      <xdr:rowOff>1238149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3025" y="2895600"/>
          <a:ext cx="1171575" cy="1219099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17</xdr:row>
      <xdr:rowOff>19050</xdr:rowOff>
    </xdr:from>
    <xdr:to>
      <xdr:col>3</xdr:col>
      <xdr:colOff>1727562</xdr:colOff>
      <xdr:row>17</xdr:row>
      <xdr:rowOff>1257300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8250" y="4162425"/>
          <a:ext cx="1479912" cy="1238250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35</xdr:row>
      <xdr:rowOff>19051</xdr:rowOff>
    </xdr:from>
    <xdr:to>
      <xdr:col>3</xdr:col>
      <xdr:colOff>1709315</xdr:colOff>
      <xdr:row>35</xdr:row>
      <xdr:rowOff>1247775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0150" y="5429251"/>
          <a:ext cx="1499765" cy="1228724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200026</xdr:colOff>
      <xdr:row>13</xdr:row>
      <xdr:rowOff>9525</xdr:rowOff>
    </xdr:from>
    <xdr:to>
      <xdr:col>3</xdr:col>
      <xdr:colOff>1709998</xdr:colOff>
      <xdr:row>13</xdr:row>
      <xdr:rowOff>1257300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0626" y="6686550"/>
          <a:ext cx="1509972" cy="1247775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200026</xdr:colOff>
      <xdr:row>7</xdr:row>
      <xdr:rowOff>19051</xdr:rowOff>
    </xdr:from>
    <xdr:to>
      <xdr:col>3</xdr:col>
      <xdr:colOff>1647826</xdr:colOff>
      <xdr:row>7</xdr:row>
      <xdr:rowOff>1266143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190626" y="7962901"/>
          <a:ext cx="1447800" cy="1247092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11</xdr:row>
      <xdr:rowOff>28575</xdr:rowOff>
    </xdr:from>
    <xdr:to>
      <xdr:col>3</xdr:col>
      <xdr:colOff>1647825</xdr:colOff>
      <xdr:row>11</xdr:row>
      <xdr:rowOff>1253443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81100" y="9239250"/>
          <a:ext cx="1457325" cy="1224868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30</xdr:row>
      <xdr:rowOff>0</xdr:rowOff>
    </xdr:from>
    <xdr:to>
      <xdr:col>3</xdr:col>
      <xdr:colOff>1683343</xdr:colOff>
      <xdr:row>30</xdr:row>
      <xdr:rowOff>1238250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81100" y="10477500"/>
          <a:ext cx="1492843" cy="1238250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161926</xdr:colOff>
      <xdr:row>10</xdr:row>
      <xdr:rowOff>1</xdr:rowOff>
    </xdr:from>
    <xdr:to>
      <xdr:col>3</xdr:col>
      <xdr:colOff>1724026</xdr:colOff>
      <xdr:row>10</xdr:row>
      <xdr:rowOff>1239543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152526" y="11744326"/>
          <a:ext cx="1562100" cy="1239542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8</xdr:row>
      <xdr:rowOff>19051</xdr:rowOff>
    </xdr:from>
    <xdr:to>
      <xdr:col>3</xdr:col>
      <xdr:colOff>1638300</xdr:colOff>
      <xdr:row>8</xdr:row>
      <xdr:rowOff>1211712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190625" y="13030201"/>
          <a:ext cx="1438275" cy="1192661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219076</xdr:colOff>
      <xdr:row>14</xdr:row>
      <xdr:rowOff>19051</xdr:rowOff>
    </xdr:from>
    <xdr:to>
      <xdr:col>3</xdr:col>
      <xdr:colOff>1666875</xdr:colOff>
      <xdr:row>14</xdr:row>
      <xdr:rowOff>1207049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09676" y="14297026"/>
          <a:ext cx="1447799" cy="1187998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22</xdr:row>
      <xdr:rowOff>19050</xdr:rowOff>
    </xdr:from>
    <xdr:to>
      <xdr:col>3</xdr:col>
      <xdr:colOff>1695450</xdr:colOff>
      <xdr:row>22</xdr:row>
      <xdr:rowOff>1258669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09675" y="15563850"/>
          <a:ext cx="1476375" cy="1239619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25</xdr:row>
      <xdr:rowOff>0</xdr:rowOff>
    </xdr:from>
    <xdr:to>
      <xdr:col>3</xdr:col>
      <xdr:colOff>1743250</xdr:colOff>
      <xdr:row>25</xdr:row>
      <xdr:rowOff>1238249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90625" y="16821151"/>
          <a:ext cx="1543225" cy="1238249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200026</xdr:colOff>
      <xdr:row>25</xdr:row>
      <xdr:rowOff>0</xdr:rowOff>
    </xdr:from>
    <xdr:to>
      <xdr:col>3</xdr:col>
      <xdr:colOff>1724026</xdr:colOff>
      <xdr:row>25</xdr:row>
      <xdr:rowOff>1250293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90626" y="18078450"/>
          <a:ext cx="1524000" cy="1250293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190500</xdr:colOff>
      <xdr:row>27</xdr:row>
      <xdr:rowOff>9525</xdr:rowOff>
    </xdr:from>
    <xdr:to>
      <xdr:col>3</xdr:col>
      <xdr:colOff>1695449</xdr:colOff>
      <xdr:row>27</xdr:row>
      <xdr:rowOff>1257017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81100" y="19354800"/>
          <a:ext cx="1504949" cy="1247492"/>
        </a:xfrm>
        <a:prstGeom prst="rect">
          <a:avLst/>
        </a:prstGeom>
      </xdr:spPr>
    </xdr:pic>
    <xdr:clientData/>
  </xdr:twoCellAnchor>
  <xdr:twoCellAnchor editAs="oneCell">
    <xdr:from>
      <xdr:col>3</xdr:col>
      <xdr:colOff>209549</xdr:colOff>
      <xdr:row>9</xdr:row>
      <xdr:rowOff>28575</xdr:rowOff>
    </xdr:from>
    <xdr:to>
      <xdr:col>3</xdr:col>
      <xdr:colOff>1685924</xdr:colOff>
      <xdr:row>9</xdr:row>
      <xdr:rowOff>1239203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00149" y="20640675"/>
          <a:ext cx="1476375" cy="1210628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209551</xdr:colOff>
      <xdr:row>28</xdr:row>
      <xdr:rowOff>19050</xdr:rowOff>
    </xdr:from>
    <xdr:to>
      <xdr:col>3</xdr:col>
      <xdr:colOff>1658941</xdr:colOff>
      <xdr:row>29</xdr:row>
      <xdr:rowOff>0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00151" y="21897975"/>
          <a:ext cx="1449390" cy="1247775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200026</xdr:colOff>
      <xdr:row>23</xdr:row>
      <xdr:rowOff>19051</xdr:rowOff>
    </xdr:from>
    <xdr:to>
      <xdr:col>3</xdr:col>
      <xdr:colOff>1704976</xdr:colOff>
      <xdr:row>23</xdr:row>
      <xdr:rowOff>1256506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90626" y="23164801"/>
          <a:ext cx="1504950" cy="1237455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26</xdr:row>
      <xdr:rowOff>9525</xdr:rowOff>
    </xdr:from>
    <xdr:to>
      <xdr:col>3</xdr:col>
      <xdr:colOff>1697135</xdr:colOff>
      <xdr:row>26</xdr:row>
      <xdr:rowOff>1247775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09675" y="24422100"/>
          <a:ext cx="1478060" cy="1238250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228601</xdr:colOff>
      <xdr:row>20</xdr:row>
      <xdr:rowOff>0</xdr:rowOff>
    </xdr:from>
    <xdr:to>
      <xdr:col>3</xdr:col>
      <xdr:colOff>1693095</xdr:colOff>
      <xdr:row>20</xdr:row>
      <xdr:rowOff>1228724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201" y="25688926"/>
          <a:ext cx="1464494" cy="1228724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20</xdr:row>
      <xdr:rowOff>28576</xdr:rowOff>
    </xdr:from>
    <xdr:to>
      <xdr:col>3</xdr:col>
      <xdr:colOff>1704974</xdr:colOff>
      <xdr:row>20</xdr:row>
      <xdr:rowOff>1246188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09675" y="26974801"/>
          <a:ext cx="1485899" cy="1217612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16</xdr:row>
      <xdr:rowOff>9525</xdr:rowOff>
    </xdr:from>
    <xdr:to>
      <xdr:col>3</xdr:col>
      <xdr:colOff>1704975</xdr:colOff>
      <xdr:row>16</xdr:row>
      <xdr:rowOff>1262142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00150" y="28222575"/>
          <a:ext cx="1495425" cy="1252617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4</xdr:row>
      <xdr:rowOff>19050</xdr:rowOff>
    </xdr:from>
    <xdr:to>
      <xdr:col>3</xdr:col>
      <xdr:colOff>1628775</xdr:colOff>
      <xdr:row>4</xdr:row>
      <xdr:rowOff>1250335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09675" y="29498925"/>
          <a:ext cx="1409700" cy="1231285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32</xdr:row>
      <xdr:rowOff>19050</xdr:rowOff>
    </xdr:from>
    <xdr:to>
      <xdr:col>3</xdr:col>
      <xdr:colOff>1638300</xdr:colOff>
      <xdr:row>32</xdr:row>
      <xdr:rowOff>1237159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28725" y="30765750"/>
          <a:ext cx="1400175" cy="1218109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21</xdr:row>
      <xdr:rowOff>19051</xdr:rowOff>
    </xdr:from>
    <xdr:to>
      <xdr:col>3</xdr:col>
      <xdr:colOff>1638300</xdr:colOff>
      <xdr:row>21</xdr:row>
      <xdr:rowOff>1232825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28725" y="32032576"/>
          <a:ext cx="1400175" cy="1213774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228601</xdr:colOff>
      <xdr:row>15</xdr:row>
      <xdr:rowOff>19051</xdr:rowOff>
    </xdr:from>
    <xdr:to>
      <xdr:col>3</xdr:col>
      <xdr:colOff>1666875</xdr:colOff>
      <xdr:row>15</xdr:row>
      <xdr:rowOff>1243918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19201" y="33299401"/>
          <a:ext cx="1438274" cy="1224867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18</xdr:row>
      <xdr:rowOff>38100</xdr:rowOff>
    </xdr:from>
    <xdr:to>
      <xdr:col>3</xdr:col>
      <xdr:colOff>1695450</xdr:colOff>
      <xdr:row>18</xdr:row>
      <xdr:rowOff>1246337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47775" y="34585275"/>
          <a:ext cx="1438275" cy="1208237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2</xdr:row>
      <xdr:rowOff>28575</xdr:rowOff>
    </xdr:from>
    <xdr:to>
      <xdr:col>3</xdr:col>
      <xdr:colOff>1638300</xdr:colOff>
      <xdr:row>2</xdr:row>
      <xdr:rowOff>1245834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28725" y="35842575"/>
          <a:ext cx="1400175" cy="121725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219076</xdr:colOff>
      <xdr:row>1</xdr:row>
      <xdr:rowOff>19050</xdr:rowOff>
    </xdr:from>
    <xdr:to>
      <xdr:col>3</xdr:col>
      <xdr:colOff>1694906</xdr:colOff>
      <xdr:row>1</xdr:row>
      <xdr:rowOff>1247775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09676" y="37099875"/>
          <a:ext cx="1475830" cy="1228725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228601</xdr:colOff>
      <xdr:row>6</xdr:row>
      <xdr:rowOff>1</xdr:rowOff>
    </xdr:from>
    <xdr:to>
      <xdr:col>3</xdr:col>
      <xdr:colOff>1695450</xdr:colOff>
      <xdr:row>6</xdr:row>
      <xdr:rowOff>1255351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905001" y="2876551"/>
          <a:ext cx="1466849" cy="1255350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247651</xdr:colOff>
      <xdr:row>5</xdr:row>
      <xdr:rowOff>0</xdr:rowOff>
    </xdr:from>
    <xdr:to>
      <xdr:col>3</xdr:col>
      <xdr:colOff>1722593</xdr:colOff>
      <xdr:row>5</xdr:row>
      <xdr:rowOff>1238250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924051" y="4143375"/>
          <a:ext cx="1474942" cy="1238250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257176</xdr:colOff>
      <xdr:row>49</xdr:row>
      <xdr:rowOff>19051</xdr:rowOff>
    </xdr:from>
    <xdr:to>
      <xdr:col>3</xdr:col>
      <xdr:colOff>1762126</xdr:colOff>
      <xdr:row>49</xdr:row>
      <xdr:rowOff>1257183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933576" y="42167176"/>
          <a:ext cx="1504950" cy="1238132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45</xdr:row>
      <xdr:rowOff>0</xdr:rowOff>
    </xdr:from>
    <xdr:to>
      <xdr:col>3</xdr:col>
      <xdr:colOff>1771650</xdr:colOff>
      <xdr:row>45</xdr:row>
      <xdr:rowOff>1252798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952625" y="43414950"/>
          <a:ext cx="1495425" cy="1252798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41</xdr:row>
      <xdr:rowOff>9525</xdr:rowOff>
    </xdr:from>
    <xdr:to>
      <xdr:col>3</xdr:col>
      <xdr:colOff>1771650</xdr:colOff>
      <xdr:row>42</xdr:row>
      <xdr:rowOff>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933575" y="44691300"/>
          <a:ext cx="1514475" cy="1260495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43</xdr:row>
      <xdr:rowOff>19050</xdr:rowOff>
    </xdr:from>
    <xdr:to>
      <xdr:col>3</xdr:col>
      <xdr:colOff>1767701</xdr:colOff>
      <xdr:row>43</xdr:row>
      <xdr:rowOff>1257300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952625" y="45967650"/>
          <a:ext cx="1491476" cy="1238250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266701</xdr:colOff>
      <xdr:row>40</xdr:row>
      <xdr:rowOff>9525</xdr:rowOff>
    </xdr:from>
    <xdr:to>
      <xdr:col>3</xdr:col>
      <xdr:colOff>1752601</xdr:colOff>
      <xdr:row>40</xdr:row>
      <xdr:rowOff>1256400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943101" y="47224950"/>
          <a:ext cx="1485900" cy="1246875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257176</xdr:colOff>
      <xdr:row>50</xdr:row>
      <xdr:rowOff>19051</xdr:rowOff>
    </xdr:from>
    <xdr:to>
      <xdr:col>3</xdr:col>
      <xdr:colOff>1724026</xdr:colOff>
      <xdr:row>50</xdr:row>
      <xdr:rowOff>1249233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933576" y="48501301"/>
          <a:ext cx="1466850" cy="1230182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51</xdr:row>
      <xdr:rowOff>19050</xdr:rowOff>
    </xdr:from>
    <xdr:to>
      <xdr:col>3</xdr:col>
      <xdr:colOff>1785111</xdr:colOff>
      <xdr:row>52</xdr:row>
      <xdr:rowOff>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933575" y="49768125"/>
          <a:ext cx="1527936" cy="1247775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48</xdr:row>
      <xdr:rowOff>19051</xdr:rowOff>
    </xdr:from>
    <xdr:to>
      <xdr:col>3</xdr:col>
      <xdr:colOff>1692137</xdr:colOff>
      <xdr:row>48</xdr:row>
      <xdr:rowOff>1238251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924050" y="51034951"/>
          <a:ext cx="1444487" cy="1219200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238126</xdr:colOff>
      <xdr:row>44</xdr:row>
      <xdr:rowOff>9526</xdr:rowOff>
    </xdr:from>
    <xdr:to>
      <xdr:col>3</xdr:col>
      <xdr:colOff>1714500</xdr:colOff>
      <xdr:row>44</xdr:row>
      <xdr:rowOff>1246975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914526" y="52292251"/>
          <a:ext cx="1476374" cy="1237449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228601</xdr:colOff>
      <xdr:row>47</xdr:row>
      <xdr:rowOff>9525</xdr:rowOff>
    </xdr:from>
    <xdr:to>
      <xdr:col>3</xdr:col>
      <xdr:colOff>1726559</xdr:colOff>
      <xdr:row>47</xdr:row>
      <xdr:rowOff>1247775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905001" y="53559075"/>
          <a:ext cx="1497958" cy="1238250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46</xdr:row>
      <xdr:rowOff>19051</xdr:rowOff>
    </xdr:from>
    <xdr:to>
      <xdr:col>3</xdr:col>
      <xdr:colOff>1676400</xdr:colOff>
      <xdr:row>46</xdr:row>
      <xdr:rowOff>1246701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876425" y="54835426"/>
          <a:ext cx="1476375" cy="1227650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39</xdr:row>
      <xdr:rowOff>0</xdr:rowOff>
    </xdr:from>
    <xdr:to>
      <xdr:col>3</xdr:col>
      <xdr:colOff>1685925</xdr:colOff>
      <xdr:row>40</xdr:row>
      <xdr:rowOff>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838325" y="56083200"/>
          <a:ext cx="1524000" cy="1271981"/>
        </a:xfrm>
        <a:prstGeom prst="rect">
          <a:avLst/>
        </a:prstGeom>
      </xdr:spPr>
    </xdr:pic>
    <xdr:clientData/>
  </xdr:twoCellAnchor>
  <xdr:twoCellAnchor editAs="oneCell">
    <xdr:from>
      <xdr:col>3</xdr:col>
      <xdr:colOff>161925</xdr:colOff>
      <xdr:row>52</xdr:row>
      <xdr:rowOff>19050</xdr:rowOff>
    </xdr:from>
    <xdr:to>
      <xdr:col>3</xdr:col>
      <xdr:colOff>1685925</xdr:colOff>
      <xdr:row>52</xdr:row>
      <xdr:rowOff>1262559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838325" y="57369075"/>
          <a:ext cx="1524000" cy="1243509"/>
        </a:xfrm>
        <a:prstGeom prst="rect">
          <a:avLst/>
        </a:prstGeom>
      </xdr:spPr>
    </xdr:pic>
    <xdr:clientData/>
  </xdr:twoCellAnchor>
  <xdr:twoCellAnchor editAs="oneCell">
    <xdr:from>
      <xdr:col>3</xdr:col>
      <xdr:colOff>200025</xdr:colOff>
      <xdr:row>42</xdr:row>
      <xdr:rowOff>0</xdr:rowOff>
    </xdr:from>
    <xdr:to>
      <xdr:col>3</xdr:col>
      <xdr:colOff>1709506</xdr:colOff>
      <xdr:row>42</xdr:row>
      <xdr:rowOff>1247775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876425" y="42148125"/>
          <a:ext cx="1509481" cy="1247775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3</xdr:row>
      <xdr:rowOff>9525</xdr:rowOff>
    </xdr:from>
    <xdr:to>
      <xdr:col>3</xdr:col>
      <xdr:colOff>1647825</xdr:colOff>
      <xdr:row>3</xdr:row>
      <xdr:rowOff>1226784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447925" y="2943225"/>
          <a:ext cx="1400175" cy="1217259"/>
        </a:xfrm>
        <a:prstGeom prst="rect">
          <a:avLst/>
        </a:prstGeom>
      </xdr:spPr>
    </xdr:pic>
    <xdr:clientData/>
  </xdr:twoCellAnchor>
  <xdr:twoCellAnchor editAs="oneCell">
    <xdr:from>
      <xdr:col>3</xdr:col>
      <xdr:colOff>400050</xdr:colOff>
      <xdr:row>58</xdr:row>
      <xdr:rowOff>9525</xdr:rowOff>
    </xdr:from>
    <xdr:to>
      <xdr:col>3</xdr:col>
      <xdr:colOff>1638300</xdr:colOff>
      <xdr:row>59</xdr:row>
      <xdr:rowOff>20711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886075" y="69913500"/>
          <a:ext cx="1238250" cy="1278011"/>
        </a:xfrm>
        <a:prstGeom prst="rect">
          <a:avLst/>
        </a:prstGeom>
      </xdr:spPr>
    </xdr:pic>
    <xdr:clientData/>
  </xdr:twoCellAnchor>
  <xdr:twoCellAnchor editAs="oneCell">
    <xdr:from>
      <xdr:col>3</xdr:col>
      <xdr:colOff>314325</xdr:colOff>
      <xdr:row>53</xdr:row>
      <xdr:rowOff>38101</xdr:rowOff>
    </xdr:from>
    <xdr:to>
      <xdr:col>3</xdr:col>
      <xdr:colOff>1576715</xdr:colOff>
      <xdr:row>53</xdr:row>
      <xdr:rowOff>1219201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2800350" y="66141601"/>
          <a:ext cx="1262390" cy="1181100"/>
        </a:xfrm>
        <a:prstGeom prst="rect">
          <a:avLst/>
        </a:prstGeom>
      </xdr:spPr>
    </xdr:pic>
    <xdr:clientData/>
  </xdr:twoCellAnchor>
  <xdr:twoCellAnchor editAs="oneCell">
    <xdr:from>
      <xdr:col>3</xdr:col>
      <xdr:colOff>371476</xdr:colOff>
      <xdr:row>59</xdr:row>
      <xdr:rowOff>28575</xdr:rowOff>
    </xdr:from>
    <xdr:to>
      <xdr:col>3</xdr:col>
      <xdr:colOff>1548426</xdr:colOff>
      <xdr:row>59</xdr:row>
      <xdr:rowOff>1247775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2857501" y="67398900"/>
          <a:ext cx="1176950" cy="1219200"/>
        </a:xfrm>
        <a:prstGeom prst="rect">
          <a:avLst/>
        </a:prstGeom>
      </xdr:spPr>
    </xdr:pic>
    <xdr:clientData/>
  </xdr:twoCellAnchor>
  <xdr:twoCellAnchor editAs="oneCell">
    <xdr:from>
      <xdr:col>3</xdr:col>
      <xdr:colOff>495300</xdr:colOff>
      <xdr:row>60</xdr:row>
      <xdr:rowOff>9525</xdr:rowOff>
    </xdr:from>
    <xdr:to>
      <xdr:col>3</xdr:col>
      <xdr:colOff>1379745</xdr:colOff>
      <xdr:row>60</xdr:row>
      <xdr:rowOff>1238250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2981325" y="68646675"/>
          <a:ext cx="884445" cy="1228725"/>
        </a:xfrm>
        <a:prstGeom prst="rect">
          <a:avLst/>
        </a:prstGeom>
      </xdr:spPr>
    </xdr:pic>
    <xdr:clientData/>
  </xdr:twoCellAnchor>
  <xdr:twoCellAnchor editAs="oneCell">
    <xdr:from>
      <xdr:col>3</xdr:col>
      <xdr:colOff>323850</xdr:colOff>
      <xdr:row>54</xdr:row>
      <xdr:rowOff>28575</xdr:rowOff>
    </xdr:from>
    <xdr:to>
      <xdr:col>3</xdr:col>
      <xdr:colOff>1615919</xdr:colOff>
      <xdr:row>54</xdr:row>
      <xdr:rowOff>1219200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2809875" y="69932550"/>
          <a:ext cx="1292069" cy="1190625"/>
        </a:xfrm>
        <a:prstGeom prst="rect">
          <a:avLst/>
        </a:prstGeom>
      </xdr:spPr>
    </xdr:pic>
    <xdr:clientData/>
  </xdr:twoCellAnchor>
  <xdr:twoCellAnchor editAs="oneCell">
    <xdr:from>
      <xdr:col>3</xdr:col>
      <xdr:colOff>352425</xdr:colOff>
      <xdr:row>57</xdr:row>
      <xdr:rowOff>28576</xdr:rowOff>
    </xdr:from>
    <xdr:to>
      <xdr:col>3</xdr:col>
      <xdr:colOff>1685925</xdr:colOff>
      <xdr:row>57</xdr:row>
      <xdr:rowOff>1248728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2838450" y="71199376"/>
          <a:ext cx="1333500" cy="1220152"/>
        </a:xfrm>
        <a:prstGeom prst="rect">
          <a:avLst/>
        </a:prstGeom>
      </xdr:spPr>
    </xdr:pic>
    <xdr:clientData/>
  </xdr:twoCellAnchor>
  <xdr:twoCellAnchor editAs="oneCell">
    <xdr:from>
      <xdr:col>3</xdr:col>
      <xdr:colOff>228600</xdr:colOff>
      <xdr:row>56</xdr:row>
      <xdr:rowOff>47625</xdr:rowOff>
    </xdr:from>
    <xdr:to>
      <xdr:col>3</xdr:col>
      <xdr:colOff>1809750</xdr:colOff>
      <xdr:row>56</xdr:row>
      <xdr:rowOff>1217534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2714625" y="69951600"/>
          <a:ext cx="1581150" cy="1169909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55</xdr:row>
      <xdr:rowOff>19050</xdr:rowOff>
    </xdr:from>
    <xdr:to>
      <xdr:col>3</xdr:col>
      <xdr:colOff>1733550</xdr:colOff>
      <xdr:row>55</xdr:row>
      <xdr:rowOff>1247530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2705100" y="68656200"/>
          <a:ext cx="1514475" cy="12284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K9"/>
  <sheetViews>
    <sheetView workbookViewId="0">
      <selection activeCell="K6" sqref="K6"/>
    </sheetView>
  </sheetViews>
  <sheetFormatPr defaultRowHeight="13.5" x14ac:dyDescent="0.15"/>
  <cols>
    <col min="1" max="1" width="9" customWidth="1"/>
  </cols>
  <sheetData>
    <row r="2" spans="1:11" ht="20.25" x14ac:dyDescent="0.15">
      <c r="A2" s="97" t="s">
        <v>6</v>
      </c>
      <c r="B2" s="97"/>
      <c r="D2" s="97" t="s">
        <v>46</v>
      </c>
      <c r="E2" s="97"/>
      <c r="G2" s="97" t="s">
        <v>92</v>
      </c>
      <c r="H2" s="97"/>
      <c r="J2" s="97" t="s">
        <v>2405</v>
      </c>
      <c r="K2" s="97"/>
    </row>
    <row r="3" spans="1:11" x14ac:dyDescent="0.15">
      <c r="A3" s="1" t="s">
        <v>8</v>
      </c>
      <c r="B3" s="1" t="s">
        <v>9</v>
      </c>
      <c r="D3" s="1" t="s">
        <v>47</v>
      </c>
      <c r="E3" s="1" t="s">
        <v>48</v>
      </c>
      <c r="G3" s="1" t="s">
        <v>93</v>
      </c>
      <c r="H3" s="1" t="s">
        <v>94</v>
      </c>
      <c r="J3" s="74" t="s">
        <v>2407</v>
      </c>
      <c r="K3" s="74" t="s">
        <v>2406</v>
      </c>
    </row>
    <row r="4" spans="1:11" x14ac:dyDescent="0.15">
      <c r="A4" s="5" t="s">
        <v>10</v>
      </c>
      <c r="B4" s="5">
        <v>1</v>
      </c>
      <c r="D4" s="10" t="s">
        <v>50</v>
      </c>
      <c r="E4" s="10">
        <v>15</v>
      </c>
      <c r="G4" s="10" t="s">
        <v>95</v>
      </c>
      <c r="H4" s="10">
        <v>1</v>
      </c>
      <c r="J4" s="55" t="s">
        <v>2408</v>
      </c>
      <c r="K4" s="55">
        <v>6</v>
      </c>
    </row>
    <row r="5" spans="1:11" x14ac:dyDescent="0.15">
      <c r="A5" s="6" t="s">
        <v>102</v>
      </c>
      <c r="B5" s="6">
        <v>3</v>
      </c>
      <c r="D5" s="10" t="s">
        <v>52</v>
      </c>
      <c r="E5" s="10">
        <v>9</v>
      </c>
      <c r="G5" s="10" t="s">
        <v>96</v>
      </c>
      <c r="H5" s="10">
        <v>2</v>
      </c>
      <c r="J5" s="55" t="s">
        <v>2409</v>
      </c>
      <c r="K5" s="55">
        <v>8</v>
      </c>
    </row>
    <row r="6" spans="1:11" x14ac:dyDescent="0.15">
      <c r="A6" s="7" t="s">
        <v>1318</v>
      </c>
      <c r="B6" s="7">
        <v>4</v>
      </c>
      <c r="D6" s="10" t="s">
        <v>54</v>
      </c>
      <c r="E6" s="10">
        <v>6</v>
      </c>
      <c r="J6" s="55" t="s">
        <v>2410</v>
      </c>
      <c r="K6" s="55">
        <v>12</v>
      </c>
    </row>
    <row r="7" spans="1:11" x14ac:dyDescent="0.15">
      <c r="A7" s="23" t="s">
        <v>12</v>
      </c>
      <c r="B7" s="23">
        <v>5</v>
      </c>
      <c r="D7" s="10" t="s">
        <v>55</v>
      </c>
      <c r="E7" s="10">
        <v>4</v>
      </c>
      <c r="J7" s="55" t="s">
        <v>2411</v>
      </c>
      <c r="K7" s="55">
        <v>5</v>
      </c>
    </row>
    <row r="8" spans="1:11" s="70" customFormat="1" x14ac:dyDescent="0.15">
      <c r="A8" s="88"/>
      <c r="B8" s="88"/>
      <c r="D8" s="8" t="s">
        <v>2659</v>
      </c>
      <c r="E8" s="12">
        <v>12</v>
      </c>
      <c r="J8" s="87"/>
      <c r="K8" s="87"/>
    </row>
    <row r="9" spans="1:11" x14ac:dyDescent="0.15">
      <c r="D9" s="12" t="s">
        <v>2354</v>
      </c>
      <c r="E9" s="12">
        <v>0</v>
      </c>
    </row>
  </sheetData>
  <mergeCells count="4">
    <mergeCell ref="A2:B2"/>
    <mergeCell ref="D2:E2"/>
    <mergeCell ref="G2:H2"/>
    <mergeCell ref="J2:K2"/>
  </mergeCells>
  <phoneticPr fontId="5" type="noConversion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24"/>
  <sheetViews>
    <sheetView topLeftCell="A10" workbookViewId="0">
      <selection activeCell="E11" sqref="E11"/>
    </sheetView>
  </sheetViews>
  <sheetFormatPr defaultRowHeight="13.5" x14ac:dyDescent="0.15"/>
  <cols>
    <col min="1" max="1" width="16" customWidth="1"/>
    <col min="2" max="2" width="9.375" customWidth="1"/>
    <col min="3" max="3" width="108.625" customWidth="1"/>
    <col min="4" max="4" width="14.75" customWidth="1"/>
  </cols>
  <sheetData>
    <row r="1" spans="1:9" s="69" customFormat="1" x14ac:dyDescent="0.15">
      <c r="B1" s="69" t="s">
        <v>2305</v>
      </c>
      <c r="C1" s="69" t="s">
        <v>2306</v>
      </c>
      <c r="D1" s="69" t="s">
        <v>2479</v>
      </c>
      <c r="E1" s="69" t="s">
        <v>2475</v>
      </c>
      <c r="F1" s="69" t="s">
        <v>2474</v>
      </c>
      <c r="G1" s="69" t="s">
        <v>2476</v>
      </c>
      <c r="H1" s="69" t="s">
        <v>2477</v>
      </c>
      <c r="I1" s="69" t="s">
        <v>2478</v>
      </c>
    </row>
    <row r="2" spans="1:9" ht="24.95" customHeight="1" x14ac:dyDescent="0.15">
      <c r="A2" t="s">
        <v>2285</v>
      </c>
      <c r="B2" s="12" t="s">
        <v>36</v>
      </c>
      <c r="C2" s="55" t="s">
        <v>2325</v>
      </c>
      <c r="D2">
        <v>1</v>
      </c>
      <c r="H2">
        <v>2</v>
      </c>
      <c r="I2">
        <v>1</v>
      </c>
    </row>
    <row r="3" spans="1:9" ht="24.95" customHeight="1" x14ac:dyDescent="0.15">
      <c r="A3" t="s">
        <v>2286</v>
      </c>
      <c r="B3" s="12" t="s">
        <v>36</v>
      </c>
      <c r="C3" s="55" t="s">
        <v>2326</v>
      </c>
      <c r="D3" s="70">
        <v>1</v>
      </c>
      <c r="E3">
        <v>1</v>
      </c>
      <c r="G3">
        <v>2</v>
      </c>
    </row>
    <row r="4" spans="1:9" ht="24.95" customHeight="1" x14ac:dyDescent="0.15">
      <c r="A4" t="s">
        <v>2287</v>
      </c>
      <c r="B4" s="12" t="s">
        <v>36</v>
      </c>
      <c r="C4" s="56" t="s">
        <v>2330</v>
      </c>
      <c r="D4" s="70">
        <v>1</v>
      </c>
      <c r="E4">
        <v>1</v>
      </c>
      <c r="I4">
        <v>2</v>
      </c>
    </row>
    <row r="5" spans="1:9" ht="24.95" customHeight="1" x14ac:dyDescent="0.15">
      <c r="A5" t="s">
        <v>2292</v>
      </c>
      <c r="B5" s="12" t="s">
        <v>36</v>
      </c>
      <c r="C5" s="56" t="s">
        <v>2327</v>
      </c>
      <c r="D5" s="70">
        <v>1</v>
      </c>
      <c r="F5">
        <v>2</v>
      </c>
      <c r="G5">
        <v>1</v>
      </c>
    </row>
    <row r="6" spans="1:9" s="69" customFormat="1" ht="24.95" customHeight="1" x14ac:dyDescent="0.15">
      <c r="A6" s="69" t="s">
        <v>2294</v>
      </c>
      <c r="B6" s="12" t="s">
        <v>36</v>
      </c>
      <c r="C6" s="55" t="s">
        <v>2307</v>
      </c>
      <c r="D6" s="70">
        <v>1</v>
      </c>
      <c r="H6" s="69">
        <v>1</v>
      </c>
      <c r="I6" s="69">
        <v>2</v>
      </c>
    </row>
    <row r="7" spans="1:9" s="69" customFormat="1" ht="24.95" customHeight="1" x14ac:dyDescent="0.15">
      <c r="A7" s="69" t="s">
        <v>2295</v>
      </c>
      <c r="B7" s="12" t="s">
        <v>36</v>
      </c>
      <c r="C7" s="56" t="s">
        <v>2328</v>
      </c>
      <c r="D7" s="70">
        <v>1</v>
      </c>
      <c r="G7" s="69">
        <v>2</v>
      </c>
      <c r="H7" s="69">
        <v>1</v>
      </c>
    </row>
    <row r="8" spans="1:9" s="69" customFormat="1" ht="24.95" customHeight="1" x14ac:dyDescent="0.15">
      <c r="A8" s="69" t="s">
        <v>2296</v>
      </c>
      <c r="B8" s="12" t="s">
        <v>36</v>
      </c>
      <c r="C8" s="56" t="s">
        <v>2329</v>
      </c>
      <c r="D8" s="70">
        <v>1</v>
      </c>
      <c r="E8" s="69">
        <v>1</v>
      </c>
      <c r="F8" s="69">
        <v>2</v>
      </c>
    </row>
    <row r="9" spans="1:9" s="69" customFormat="1" ht="28.5" customHeight="1" x14ac:dyDescent="0.15">
      <c r="A9" s="69" t="s">
        <v>2323</v>
      </c>
      <c r="B9" s="12" t="s">
        <v>13</v>
      </c>
      <c r="C9" s="56" t="s">
        <v>2324</v>
      </c>
      <c r="D9" s="69">
        <v>3</v>
      </c>
      <c r="F9" s="69">
        <v>1.5</v>
      </c>
      <c r="I9" s="69">
        <v>1.5</v>
      </c>
    </row>
    <row r="10" spans="1:9" s="69" customFormat="1" ht="24.95" customHeight="1" x14ac:dyDescent="0.15">
      <c r="A10" s="69" t="s">
        <v>2297</v>
      </c>
      <c r="B10" s="12" t="s">
        <v>13</v>
      </c>
      <c r="C10" s="56" t="s">
        <v>2322</v>
      </c>
      <c r="D10" s="70">
        <v>3</v>
      </c>
      <c r="F10" s="69">
        <v>2</v>
      </c>
      <c r="G10" s="69">
        <v>1</v>
      </c>
    </row>
    <row r="11" spans="1:9" ht="24.95" customHeight="1" x14ac:dyDescent="0.15">
      <c r="A11" t="s">
        <v>2293</v>
      </c>
      <c r="B11" s="12" t="s">
        <v>13</v>
      </c>
      <c r="C11" s="55" t="s">
        <v>2309</v>
      </c>
      <c r="D11" s="70">
        <v>3</v>
      </c>
      <c r="G11">
        <v>1.5</v>
      </c>
      <c r="H11">
        <v>1.5</v>
      </c>
    </row>
    <row r="12" spans="1:9" ht="24.95" customHeight="1" x14ac:dyDescent="0.15">
      <c r="A12" t="s">
        <v>2288</v>
      </c>
      <c r="B12" s="12" t="s">
        <v>13</v>
      </c>
      <c r="C12" s="55" t="s">
        <v>2311</v>
      </c>
      <c r="D12" s="70">
        <v>3</v>
      </c>
      <c r="E12">
        <v>1.5</v>
      </c>
      <c r="I12">
        <v>1.5</v>
      </c>
    </row>
    <row r="13" spans="1:9" s="69" customFormat="1" ht="24.95" customHeight="1" x14ac:dyDescent="0.15">
      <c r="A13" s="69" t="s">
        <v>2299</v>
      </c>
      <c r="B13" s="12" t="s">
        <v>13</v>
      </c>
      <c r="C13" s="55" t="s">
        <v>2308</v>
      </c>
      <c r="D13" s="70">
        <v>3</v>
      </c>
      <c r="E13" s="69">
        <v>2</v>
      </c>
      <c r="G13" s="69">
        <v>1</v>
      </c>
    </row>
    <row r="14" spans="1:9" s="69" customFormat="1" ht="24.95" customHeight="1" x14ac:dyDescent="0.15">
      <c r="A14" s="69" t="s">
        <v>2300</v>
      </c>
      <c r="B14" s="12" t="s">
        <v>13</v>
      </c>
      <c r="C14" s="55" t="s">
        <v>2310</v>
      </c>
      <c r="D14" s="70">
        <v>3</v>
      </c>
      <c r="H14" s="69">
        <v>2</v>
      </c>
      <c r="I14" s="69">
        <v>1</v>
      </c>
    </row>
    <row r="15" spans="1:9" s="69" customFormat="1" ht="24.95" customHeight="1" x14ac:dyDescent="0.15">
      <c r="A15" s="69" t="s">
        <v>2303</v>
      </c>
      <c r="B15" s="12" t="s">
        <v>35</v>
      </c>
      <c r="C15" s="55" t="s">
        <v>2312</v>
      </c>
      <c r="D15" s="69">
        <v>4</v>
      </c>
      <c r="F15" s="69">
        <v>1</v>
      </c>
      <c r="H15" s="69">
        <v>2</v>
      </c>
    </row>
    <row r="16" spans="1:9" s="69" customFormat="1" ht="24.95" customHeight="1" x14ac:dyDescent="0.15">
      <c r="A16" s="69" t="s">
        <v>2304</v>
      </c>
      <c r="B16" s="12" t="s">
        <v>35</v>
      </c>
      <c r="C16" s="55" t="s">
        <v>2313</v>
      </c>
      <c r="D16" s="70">
        <v>4</v>
      </c>
      <c r="G16" s="69">
        <v>1</v>
      </c>
      <c r="H16" s="69">
        <v>2</v>
      </c>
    </row>
    <row r="17" spans="1:9" s="69" customFormat="1" ht="24.95" customHeight="1" x14ac:dyDescent="0.15">
      <c r="A17" s="69" t="s">
        <v>2298</v>
      </c>
      <c r="B17" s="12" t="s">
        <v>35</v>
      </c>
      <c r="C17" s="55" t="s">
        <v>2314</v>
      </c>
      <c r="D17" s="70">
        <v>4</v>
      </c>
      <c r="F17" s="69">
        <v>1</v>
      </c>
      <c r="I17" s="69">
        <v>2</v>
      </c>
    </row>
    <row r="18" spans="1:9" ht="24.95" customHeight="1" x14ac:dyDescent="0.15">
      <c r="A18" t="s">
        <v>2289</v>
      </c>
      <c r="B18" s="12" t="s">
        <v>35</v>
      </c>
      <c r="C18" s="55" t="s">
        <v>2315</v>
      </c>
      <c r="D18" s="70">
        <v>4</v>
      </c>
      <c r="E18">
        <v>2</v>
      </c>
      <c r="F18">
        <v>1</v>
      </c>
    </row>
    <row r="19" spans="1:9" ht="24.95" customHeight="1" x14ac:dyDescent="0.15">
      <c r="A19" t="s">
        <v>2290</v>
      </c>
      <c r="B19" s="12" t="s">
        <v>35</v>
      </c>
      <c r="C19" s="55" t="s">
        <v>2317</v>
      </c>
      <c r="D19" s="70">
        <v>4</v>
      </c>
      <c r="F19">
        <v>1</v>
      </c>
      <c r="I19">
        <v>2</v>
      </c>
    </row>
    <row r="20" spans="1:9" ht="24.95" customHeight="1" x14ac:dyDescent="0.15">
      <c r="A20" t="s">
        <v>2291</v>
      </c>
      <c r="B20" s="12" t="s">
        <v>35</v>
      </c>
      <c r="C20" s="55" t="s">
        <v>2316</v>
      </c>
      <c r="D20" s="70">
        <v>4</v>
      </c>
      <c r="F20">
        <v>1</v>
      </c>
      <c r="G20">
        <v>2</v>
      </c>
    </row>
    <row r="21" spans="1:9" ht="24.95" customHeight="1" x14ac:dyDescent="0.15">
      <c r="A21" t="s">
        <v>2301</v>
      </c>
      <c r="B21" s="12" t="s">
        <v>11</v>
      </c>
      <c r="C21" s="55" t="s">
        <v>2318</v>
      </c>
      <c r="D21">
        <v>5</v>
      </c>
      <c r="E21">
        <v>2</v>
      </c>
      <c r="H21">
        <v>1</v>
      </c>
    </row>
    <row r="22" spans="1:9" ht="28.5" customHeight="1" x14ac:dyDescent="0.15">
      <c r="A22" t="s">
        <v>2302</v>
      </c>
      <c r="B22" s="12" t="s">
        <v>11</v>
      </c>
      <c r="C22" s="55" t="s">
        <v>2319</v>
      </c>
      <c r="D22" s="70">
        <v>5</v>
      </c>
      <c r="E22">
        <v>2</v>
      </c>
      <c r="H22">
        <v>1</v>
      </c>
    </row>
    <row r="23" spans="1:9" ht="24" customHeight="1" x14ac:dyDescent="0.15">
      <c r="A23" t="s">
        <v>2320</v>
      </c>
      <c r="B23" s="12" t="s">
        <v>11</v>
      </c>
      <c r="C23" s="56" t="s">
        <v>2321</v>
      </c>
      <c r="D23" s="70">
        <v>5</v>
      </c>
      <c r="F23">
        <v>1</v>
      </c>
      <c r="G23">
        <v>2</v>
      </c>
    </row>
    <row r="24" spans="1:9" ht="19.5" customHeight="1" x14ac:dyDescent="0.15">
      <c r="E24">
        <f>SUM(E2:E23)</f>
        <v>12.5</v>
      </c>
      <c r="F24" s="70">
        <f t="shared" ref="F24:I24" si="0">SUM(F2:F23)</f>
        <v>13.5</v>
      </c>
      <c r="G24" s="70">
        <f t="shared" si="0"/>
        <v>13.5</v>
      </c>
      <c r="H24" s="70">
        <f t="shared" si="0"/>
        <v>13.5</v>
      </c>
      <c r="I24" s="70">
        <f t="shared" si="0"/>
        <v>13</v>
      </c>
    </row>
  </sheetData>
  <phoneticPr fontId="5" type="noConversion"/>
  <dataValidations count="1">
    <dataValidation type="list" allowBlank="1" showInputMessage="1" showErrorMessage="1" sqref="B2:B23">
      <formula1>品质名称</formula1>
    </dataValidation>
  </dataValidations>
  <pageMargins left="0.7" right="0.7" top="0.75" bottom="0.75" header="0.3" footer="0.3"/>
  <pageSetup paperSize="9" orientation="portrait"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ellIs" priority="5" operator="equal" id="{FCB5AD0A-5631-43EA-B6CA-8C9C0F197901}">
            <xm:f>名称表!$A$4</xm:f>
            <x14:dxf>
              <fill>
                <patternFill>
                  <bgColor theme="2" tint="-0.24994659260841701"/>
                </patternFill>
              </fill>
            </x14:dxf>
          </x14:cfRule>
          <x14:cfRule type="cellIs" priority="6" operator="equal" id="{4CE8DA37-0D51-467B-871C-2320A5BE47FB}">
            <xm:f>名称表!$A$5</xm:f>
            <x14:dxf>
              <fill>
                <patternFill>
                  <bgColor theme="3" tint="0.39994506668294322"/>
                </patternFill>
              </fill>
            </x14:dxf>
          </x14:cfRule>
          <x14:cfRule type="cellIs" priority="7" operator="equal" id="{23FA1917-16F3-470E-89A3-6B246D42A2D2}">
            <xm:f>名称表!$A$6</xm:f>
            <x14:dxf>
              <fill>
                <patternFill>
                  <bgColor rgb="FF7030A0"/>
                </patternFill>
              </fill>
            </x14:dxf>
          </x14:cfRule>
          <x14:cfRule type="cellIs" priority="8" operator="equal" id="{938786B4-D792-46F6-9D10-AA98780B7D74}">
            <xm:f>名称表!$A$7</xm:f>
            <x14:dxf>
              <fill>
                <patternFill>
                  <bgColor theme="9" tint="-0.24994659260841701"/>
                </patternFill>
              </fill>
            </x14:dxf>
          </x14:cfRule>
          <xm:sqref>B2:B23</xm:sqref>
        </x14:conditionalFormatting>
      </x14:conditionalFormattings>
    </ext>
  </extLst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N144"/>
  <sheetViews>
    <sheetView topLeftCell="A84" workbookViewId="0">
      <selection activeCell="G76" sqref="G76"/>
    </sheetView>
  </sheetViews>
  <sheetFormatPr defaultRowHeight="13.5" x14ac:dyDescent="0.15"/>
  <cols>
    <col min="1" max="1" width="18.625" style="70" customWidth="1"/>
    <col min="2" max="2" width="11" customWidth="1"/>
    <col min="3" max="3" width="15" customWidth="1"/>
    <col min="4" max="4" width="14.25" customWidth="1"/>
    <col min="5" max="5" width="16" customWidth="1"/>
    <col min="6" max="6" width="13.875" customWidth="1"/>
    <col min="7" max="7" width="12.125" customWidth="1"/>
    <col min="8" max="8" width="9.75" customWidth="1"/>
    <col min="9" max="9" width="13.375" customWidth="1"/>
    <col min="10" max="10" width="10.625" customWidth="1"/>
  </cols>
  <sheetData>
    <row r="2" spans="1:14" ht="100.5" customHeight="1" x14ac:dyDescent="0.15">
      <c r="A2" s="102" t="s">
        <v>2512</v>
      </c>
      <c r="B2" s="102"/>
      <c r="C2" s="102"/>
      <c r="D2" s="102"/>
      <c r="E2" s="102"/>
      <c r="F2" s="102"/>
      <c r="G2" s="102"/>
      <c r="H2" s="102"/>
      <c r="I2" s="102"/>
      <c r="J2" s="102"/>
      <c r="K2" s="102"/>
      <c r="L2" s="102"/>
      <c r="M2" s="102"/>
      <c r="N2" s="102"/>
    </row>
    <row r="4" spans="1:14" s="70" customFormat="1" x14ac:dyDescent="0.15">
      <c r="A4" s="70" t="s">
        <v>2531</v>
      </c>
      <c r="B4" s="70">
        <v>3</v>
      </c>
      <c r="C4" s="70" t="s">
        <v>2535</v>
      </c>
      <c r="D4" s="70">
        <v>20</v>
      </c>
      <c r="E4" s="70" t="s">
        <v>2536</v>
      </c>
      <c r="F4" s="70">
        <v>10</v>
      </c>
    </row>
    <row r="5" spans="1:14" s="70" customFormat="1" x14ac:dyDescent="0.15">
      <c r="A5" s="70" t="s">
        <v>2513</v>
      </c>
    </row>
    <row r="6" spans="1:14" x14ac:dyDescent="0.15">
      <c r="A6" s="70" t="s">
        <v>2526</v>
      </c>
      <c r="B6" t="s">
        <v>2525</v>
      </c>
      <c r="C6" t="s">
        <v>2523</v>
      </c>
      <c r="D6" t="s">
        <v>2522</v>
      </c>
      <c r="E6" t="s">
        <v>2524</v>
      </c>
      <c r="F6" t="s">
        <v>2520</v>
      </c>
      <c r="G6" t="s">
        <v>2521</v>
      </c>
    </row>
    <row r="7" spans="1:14" s="70" customFormat="1" x14ac:dyDescent="0.15">
      <c r="A7" s="70" t="s">
        <v>2527</v>
      </c>
      <c r="B7" s="70" t="s">
        <v>2518</v>
      </c>
      <c r="C7" s="70">
        <v>6</v>
      </c>
      <c r="D7" s="70">
        <v>20</v>
      </c>
      <c r="E7" s="70">
        <v>3</v>
      </c>
      <c r="F7" s="70">
        <f>INDEX(数值规划表!$N$45:$V$53,E7,MATCH($B7,兵种定位,0))*(1+每级膨胀*(D7-1))*INDEX(数值规划表!$B$61:$B$71,组队本设计!C7+1)</f>
        <v>429.69369803835332</v>
      </c>
      <c r="G7" s="70">
        <f>INDEX(数值规划表!$E$45:$M$53,E7,MATCH($B7,兵种定位,0))*(1+每级膨胀*(D7-1))*INDEX(数值规划表!$B$61:$B$71,组队本设计!C7+1)</f>
        <v>143.2312326794511</v>
      </c>
    </row>
    <row r="8" spans="1:14" s="70" customFormat="1" x14ac:dyDescent="0.15">
      <c r="A8" s="70" t="s">
        <v>2528</v>
      </c>
      <c r="B8" s="70" t="s">
        <v>2519</v>
      </c>
      <c r="C8" s="70">
        <v>6</v>
      </c>
      <c r="D8" s="70">
        <v>20</v>
      </c>
      <c r="E8" s="70">
        <v>3</v>
      </c>
      <c r="F8" s="70">
        <f>INDEX(数值规划表!$N$45:$V$53,E8,MATCH($B8,兵种定位,0))*(1+每级膨胀*(D8-1))*INDEX(数值规划表!$B$61:$B$71,组队本设计!C8+1)</f>
        <v>1618.5563139004175</v>
      </c>
      <c r="G8" s="70">
        <f>INDEX(数值规划表!$E$45:$M$53,E8,MATCH($B8,兵种定位,0))*(1+每级膨胀*(D8-1))*INDEX(数值规划表!$B$61:$B$71,组队本设计!C8+1)</f>
        <v>94.547488296193279</v>
      </c>
    </row>
    <row r="9" spans="1:14" s="70" customFormat="1" x14ac:dyDescent="0.15">
      <c r="A9" s="70" t="s">
        <v>2529</v>
      </c>
      <c r="B9" s="70" t="s">
        <v>2519</v>
      </c>
      <c r="C9" s="70">
        <v>6</v>
      </c>
      <c r="D9" s="70">
        <v>10</v>
      </c>
      <c r="E9" s="70">
        <v>3</v>
      </c>
      <c r="F9" s="70">
        <f>INDEX(数值规划表!$N$45:$V$53,E9,MATCH($B9,兵种定位,0))*(1+每级膨胀*(D9-1))*INDEX(数值规划表!$B$61:$B$71,组队本设计!C9+1)</f>
        <v>1309.2780373589364</v>
      </c>
      <c r="G9" s="70">
        <f>INDEX(数值规划表!$E$45:$M$53,E9,MATCH($B9,兵种定位,0))*(1+每级膨胀*(D9-1))*INDEX(数值规划表!$B$61:$B$71,组队本设计!C9+1)</f>
        <v>76.481089258704117</v>
      </c>
    </row>
    <row r="10" spans="1:14" s="70" customFormat="1" x14ac:dyDescent="0.15">
      <c r="A10" s="70" t="s">
        <v>2530</v>
      </c>
      <c r="B10" s="70" t="s">
        <v>114</v>
      </c>
      <c r="C10" s="70">
        <v>6</v>
      </c>
      <c r="D10" s="70">
        <v>10</v>
      </c>
      <c r="E10" s="70">
        <v>3</v>
      </c>
      <c r="F10" s="70">
        <f>INDEX(数值规划表!$N$45:$V$53,E10,MATCH($B10,兵种定位,0))*(1+每级膨胀*(D10-1))*INDEX(数值规划表!$B$61:$B$71,组队本设计!C10+1)</f>
        <v>410.15522204225391</v>
      </c>
      <c r="G10" s="70">
        <f>INDEX(数值规划表!$E$45:$M$53,E10,MATCH($B10,兵种定位,0))*(1+每级膨胀*(D10-1))*INDEX(数值规划表!$B$61:$B$71,组队本设计!C10+1)</f>
        <v>118.19348930016056</v>
      </c>
    </row>
    <row r="11" spans="1:14" s="70" customFormat="1" x14ac:dyDescent="0.15"/>
    <row r="12" spans="1:14" s="70" customFormat="1" x14ac:dyDescent="0.15">
      <c r="A12" s="70" t="s">
        <v>2517</v>
      </c>
      <c r="B12" s="82">
        <v>0.6</v>
      </c>
    </row>
    <row r="13" spans="1:14" s="70" customFormat="1" x14ac:dyDescent="0.15">
      <c r="A13" s="70" t="s">
        <v>2514</v>
      </c>
      <c r="B13" s="70">
        <v>60</v>
      </c>
      <c r="C13" s="82"/>
    </row>
    <row r="14" spans="1:14" s="70" customFormat="1" x14ac:dyDescent="0.15">
      <c r="A14" s="70" t="s">
        <v>2634</v>
      </c>
      <c r="B14" s="70">
        <f>B13/$B$4*(1-B12)*2</f>
        <v>16</v>
      </c>
      <c r="C14" s="82"/>
    </row>
    <row r="15" spans="1:14" s="70" customFormat="1" x14ac:dyDescent="0.15">
      <c r="A15" s="70" t="s">
        <v>2533</v>
      </c>
      <c r="B15" s="70">
        <v>0</v>
      </c>
      <c r="C15" s="82" t="s">
        <v>2618</v>
      </c>
      <c r="D15" s="70">
        <f>G10*1.5</f>
        <v>177.29023395024086</v>
      </c>
    </row>
    <row r="16" spans="1:14" s="70" customFormat="1" x14ac:dyDescent="0.15">
      <c r="A16" s="70" t="s">
        <v>2532</v>
      </c>
      <c r="B16" s="70">
        <f>B15+B14/E7</f>
        <v>5.333333333333333</v>
      </c>
      <c r="C16" s="70" t="s">
        <v>2619</v>
      </c>
      <c r="D16" s="70">
        <f>D15+B16*G7</f>
        <v>941.1901415739801</v>
      </c>
    </row>
    <row r="17" spans="1:7" s="70" customFormat="1" x14ac:dyDescent="0.15">
      <c r="A17" s="70" t="s">
        <v>2620</v>
      </c>
      <c r="B17" s="70">
        <f>B13*(D15+D16)/2</f>
        <v>33554.411265726631</v>
      </c>
    </row>
    <row r="18" spans="1:7" s="70" customFormat="1" x14ac:dyDescent="0.15">
      <c r="A18" s="70" t="s">
        <v>2622</v>
      </c>
      <c r="B18" s="70">
        <f>B13/B4*B12*2</f>
        <v>24</v>
      </c>
    </row>
    <row r="19" spans="1:7" x14ac:dyDescent="0.15">
      <c r="A19" s="70" t="s">
        <v>2621</v>
      </c>
      <c r="B19" s="31">
        <f>B18/E8*F8+F9</f>
        <v>14257.728548562276</v>
      </c>
      <c r="E19" s="83"/>
    </row>
    <row r="20" spans="1:7" s="70" customFormat="1" x14ac:dyDescent="0.15">
      <c r="B20" s="31"/>
      <c r="D20" s="70">
        <f>B17/4</f>
        <v>8388.6028164316576</v>
      </c>
      <c r="F20" s="83">
        <f>B19/B13</f>
        <v>237.6288091427046</v>
      </c>
    </row>
    <row r="21" spans="1:7" x14ac:dyDescent="0.15">
      <c r="B21" s="31" t="s">
        <v>2537</v>
      </c>
      <c r="C21" t="s">
        <v>2538</v>
      </c>
      <c r="D21" s="70" t="s">
        <v>2520</v>
      </c>
      <c r="E21" t="s">
        <v>2539</v>
      </c>
      <c r="F21" s="82" t="s">
        <v>2521</v>
      </c>
    </row>
    <row r="22" spans="1:7" x14ac:dyDescent="0.15">
      <c r="A22" s="70" t="s">
        <v>2515</v>
      </c>
      <c r="B22" s="31">
        <v>0.3</v>
      </c>
      <c r="C22">
        <v>0.8</v>
      </c>
      <c r="D22">
        <f>D$20*B22</f>
        <v>2516.5808449294973</v>
      </c>
      <c r="E22">
        <v>1.1000000000000001</v>
      </c>
      <c r="F22">
        <f>$F$20*C22*E22</f>
        <v>209.11335204558009</v>
      </c>
    </row>
    <row r="23" spans="1:7" x14ac:dyDescent="0.15">
      <c r="A23" s="70" t="s">
        <v>2516</v>
      </c>
      <c r="B23" s="31">
        <v>0.7</v>
      </c>
      <c r="C23" s="70">
        <v>0.56000000000000005</v>
      </c>
      <c r="D23" s="70">
        <f>D$20*B23</f>
        <v>5872.0219715021603</v>
      </c>
      <c r="E23">
        <v>1.2</v>
      </c>
      <c r="F23" s="70">
        <f>$F$20*C23*E23</f>
        <v>159.6865597438975</v>
      </c>
    </row>
    <row r="24" spans="1:7" x14ac:dyDescent="0.15">
      <c r="B24" s="31"/>
    </row>
    <row r="25" spans="1:7" x14ac:dyDescent="0.15">
      <c r="A25" s="70" t="s">
        <v>2540</v>
      </c>
      <c r="B25" s="31"/>
    </row>
    <row r="26" spans="1:7" x14ac:dyDescent="0.15">
      <c r="A26" s="70" t="s">
        <v>2526</v>
      </c>
      <c r="B26" s="70" t="s">
        <v>2525</v>
      </c>
      <c r="C26" s="70" t="s">
        <v>2523</v>
      </c>
      <c r="D26" s="70" t="s">
        <v>2522</v>
      </c>
      <c r="E26" s="70" t="s">
        <v>2524</v>
      </c>
      <c r="F26" s="70" t="s">
        <v>2520</v>
      </c>
      <c r="G26" s="70" t="s">
        <v>2521</v>
      </c>
    </row>
    <row r="27" spans="1:7" x14ac:dyDescent="0.15">
      <c r="A27" s="70" t="s">
        <v>2527</v>
      </c>
      <c r="B27" s="70" t="s">
        <v>2518</v>
      </c>
      <c r="C27" s="70">
        <v>0</v>
      </c>
      <c r="D27" s="70">
        <v>5</v>
      </c>
      <c r="E27" s="70">
        <v>3</v>
      </c>
      <c r="F27" s="70">
        <f>INDEX(数值规划表!$N$45:$V$53,E27,MATCH($B27,兵种定位,0))*(1+每级膨胀*(D27-1))*INDEX(数值规划表!$B$61:$B$71,组队本设计!C27+1)</f>
        <v>155.29920000000001</v>
      </c>
      <c r="G27" s="70">
        <f>INDEX(数值规划表!$E$45:$M$53,E27,MATCH($B27,兵种定位,0))*(1+每级膨胀*(D27-1))*INDEX(数值规划表!$B$61:$B$71,组队本设计!C27+1)</f>
        <v>51.766400000000004</v>
      </c>
    </row>
    <row r="28" spans="1:7" x14ac:dyDescent="0.15">
      <c r="A28" s="70" t="s">
        <v>2528</v>
      </c>
      <c r="B28" s="70" t="s">
        <v>2519</v>
      </c>
      <c r="C28" s="70">
        <v>0</v>
      </c>
      <c r="D28" s="70">
        <v>5</v>
      </c>
      <c r="E28" s="70">
        <v>3</v>
      </c>
      <c r="F28" s="70">
        <f>INDEX(数值规划表!$N$45:$V$53,E28,MATCH($B28,兵种定位,0))*(1+每级膨胀*(D28-1))*INDEX(数值规划表!$B$61:$B$71,组队本设计!C28+1)</f>
        <v>584.976</v>
      </c>
      <c r="G28" s="70">
        <f>INDEX(数值规划表!$E$45:$M$53,E28,MATCH($B28,兵种定位,0))*(1+每级膨胀*(D28-1))*INDEX(数值规划表!$B$61:$B$71,组队本设计!C28+1)</f>
        <v>34.171200000000006</v>
      </c>
    </row>
    <row r="29" spans="1:7" x14ac:dyDescent="0.15">
      <c r="A29" s="70" t="s">
        <v>2529</v>
      </c>
      <c r="B29" s="70" t="s">
        <v>2519</v>
      </c>
      <c r="C29" s="70">
        <v>0</v>
      </c>
      <c r="D29" s="70">
        <v>5</v>
      </c>
      <c r="E29" s="70">
        <v>3</v>
      </c>
      <c r="F29" s="70">
        <f>INDEX(数值规划表!$N$45:$V$53,E29,MATCH($B29,兵种定位,0))*(1+每级膨胀*(D29-1))*INDEX(数值规划表!$B$61:$B$71,组队本设计!C29+1)</f>
        <v>584.976</v>
      </c>
      <c r="G29" s="70">
        <f>INDEX(数值规划表!$E$45:$M$53,E29,MATCH($B29,兵种定位,0))*(1+每级膨胀*(D29-1))*INDEX(数值规划表!$B$61:$B$71,组队本设计!C29+1)</f>
        <v>34.171200000000006</v>
      </c>
    </row>
    <row r="30" spans="1:7" x14ac:dyDescent="0.15">
      <c r="A30" s="70" t="s">
        <v>2530</v>
      </c>
      <c r="B30" s="70" t="s">
        <v>114</v>
      </c>
      <c r="C30" s="70">
        <v>0</v>
      </c>
      <c r="D30" s="70">
        <v>5</v>
      </c>
      <c r="E30" s="70">
        <v>3</v>
      </c>
      <c r="F30" s="70">
        <f>INDEX(数值规划表!$N$45:$V$53,E30,MATCH($B30,兵种定位,0))*(1+每级膨胀*(D30-1))*INDEX(数值规划表!$B$61:$B$71,组队本设计!C30+1)</f>
        <v>183.25440000000003</v>
      </c>
      <c r="G30" s="70">
        <f>INDEX(数值规划表!$E$45:$M$53,E30,MATCH($B30,兵种定位,0))*(1+每级膨胀*(D30-1))*INDEX(数值规划表!$B$61:$B$71,组队本设计!C30+1)</f>
        <v>52.808000000000007</v>
      </c>
    </row>
    <row r="31" spans="1:7" x14ac:dyDescent="0.15">
      <c r="B31" s="31"/>
    </row>
    <row r="32" spans="1:7" x14ac:dyDescent="0.15">
      <c r="A32" s="70" t="s">
        <v>2541</v>
      </c>
      <c r="B32" s="84">
        <v>0.8</v>
      </c>
    </row>
    <row r="33" spans="1:8" x14ac:dyDescent="0.15">
      <c r="A33" s="70" t="s">
        <v>2514</v>
      </c>
      <c r="B33" s="31">
        <v>120</v>
      </c>
    </row>
    <row r="34" spans="1:8" s="70" customFormat="1" x14ac:dyDescent="0.15">
      <c r="A34" s="70" t="s">
        <v>2634</v>
      </c>
      <c r="B34" s="31">
        <f>B33/$B$4*(1-B32)*2</f>
        <v>15.999999999999996</v>
      </c>
    </row>
    <row r="35" spans="1:8" x14ac:dyDescent="0.15">
      <c r="A35" s="70" t="s">
        <v>2533</v>
      </c>
      <c r="B35" s="31">
        <f>B16</f>
        <v>5.333333333333333</v>
      </c>
      <c r="C35" s="82" t="s">
        <v>2618</v>
      </c>
      <c r="D35">
        <f>B35*G7+G10</f>
        <v>882.09339692389972</v>
      </c>
    </row>
    <row r="36" spans="1:8" x14ac:dyDescent="0.15">
      <c r="A36" s="70" t="s">
        <v>2532</v>
      </c>
      <c r="B36" s="31">
        <f>B34/E7+B35</f>
        <v>10.666666666666664</v>
      </c>
      <c r="C36" s="70" t="s">
        <v>2619</v>
      </c>
      <c r="D36">
        <f>B36*G7+G10*2</f>
        <v>1764.1867938477992</v>
      </c>
    </row>
    <row r="37" spans="1:8" s="70" customFormat="1" x14ac:dyDescent="0.15">
      <c r="A37" s="70" t="s">
        <v>2623</v>
      </c>
      <c r="B37" s="31">
        <v>20</v>
      </c>
      <c r="C37" s="70" t="s">
        <v>2624</v>
      </c>
      <c r="D37" s="70">
        <v>3</v>
      </c>
      <c r="E37" s="70" t="s">
        <v>2631</v>
      </c>
      <c r="F37" s="70">
        <f>D37*G27</f>
        <v>155.29920000000001</v>
      </c>
      <c r="G37" s="70" t="s">
        <v>2625</v>
      </c>
      <c r="H37" s="70">
        <f>F37*2*B33/B37</f>
        <v>1863.5904000000003</v>
      </c>
    </row>
    <row r="38" spans="1:8" x14ac:dyDescent="0.15">
      <c r="A38" s="70" t="s">
        <v>2534</v>
      </c>
      <c r="B38" s="31">
        <f>(B35+B36)/2*G7*B33+G10*2*B33</f>
        <v>165868.42080431158</v>
      </c>
    </row>
    <row r="39" spans="1:8" s="70" customFormat="1" x14ac:dyDescent="0.15">
      <c r="A39" s="70" t="s">
        <v>2626</v>
      </c>
      <c r="B39" s="31">
        <f>B33/B4*2*B32</f>
        <v>64</v>
      </c>
    </row>
    <row r="40" spans="1:8" s="70" customFormat="1" x14ac:dyDescent="0.15">
      <c r="A40" s="70" t="s">
        <v>2543</v>
      </c>
      <c r="B40" s="84">
        <v>1</v>
      </c>
    </row>
    <row r="41" spans="1:8" s="70" customFormat="1" x14ac:dyDescent="0.15">
      <c r="A41" s="70" t="s">
        <v>2615</v>
      </c>
      <c r="B41" s="84">
        <v>0.3</v>
      </c>
    </row>
    <row r="42" spans="1:8" s="70" customFormat="1" x14ac:dyDescent="0.15">
      <c r="A42" s="70" t="s">
        <v>2544</v>
      </c>
      <c r="B42" s="85">
        <f>B39/E28*F28*B40</f>
        <v>12479.487999999999</v>
      </c>
    </row>
    <row r="43" spans="1:8" s="70" customFormat="1" x14ac:dyDescent="0.15">
      <c r="A43" s="70" t="s">
        <v>2616</v>
      </c>
      <c r="B43" s="85">
        <f>B39/E28*F28*B41</f>
        <v>3743.8463999999994</v>
      </c>
    </row>
    <row r="44" spans="1:8" x14ac:dyDescent="0.15">
      <c r="B44" s="31"/>
      <c r="C44" t="s">
        <v>2613</v>
      </c>
      <c r="D44" t="s">
        <v>2627</v>
      </c>
      <c r="E44" t="s">
        <v>2617</v>
      </c>
    </row>
    <row r="45" spans="1:8" x14ac:dyDescent="0.15">
      <c r="A45" s="70" t="s">
        <v>2542</v>
      </c>
      <c r="B45" s="31">
        <f>B42/B33</f>
        <v>103.99573333333333</v>
      </c>
      <c r="C45" s="52">
        <v>1.5</v>
      </c>
      <c r="D45">
        <v>0.75</v>
      </c>
      <c r="E45">
        <f>B45*C45*D45</f>
        <v>116.99520000000001</v>
      </c>
    </row>
    <row r="46" spans="1:8" x14ac:dyDescent="0.15">
      <c r="A46" s="70" t="s">
        <v>2614</v>
      </c>
      <c r="B46" s="31">
        <f>B43/B33</f>
        <v>31.198719999999994</v>
      </c>
      <c r="C46">
        <v>4.5</v>
      </c>
      <c r="D46">
        <v>1</v>
      </c>
      <c r="E46" s="70">
        <f>B46*C46*D46</f>
        <v>140.39423999999997</v>
      </c>
    </row>
    <row r="47" spans="1:8" x14ac:dyDescent="0.15">
      <c r="B47" s="31" t="s">
        <v>2629</v>
      </c>
      <c r="C47" t="s">
        <v>2630</v>
      </c>
    </row>
    <row r="48" spans="1:8" x14ac:dyDescent="0.15">
      <c r="A48" s="70" t="s">
        <v>2628</v>
      </c>
      <c r="B48" s="31">
        <v>0.7</v>
      </c>
      <c r="C48">
        <f>(B38-H37)*B48</f>
        <v>114803.38128301811</v>
      </c>
    </row>
    <row r="49" spans="1:12" x14ac:dyDescent="0.15">
      <c r="B49" s="31"/>
    </row>
    <row r="50" spans="1:12" x14ac:dyDescent="0.15">
      <c r="A50" s="70" t="s">
        <v>2632</v>
      </c>
      <c r="B50" s="31"/>
    </row>
    <row r="51" spans="1:12" x14ac:dyDescent="0.15">
      <c r="A51" s="70" t="s">
        <v>2526</v>
      </c>
      <c r="B51" s="70" t="s">
        <v>2525</v>
      </c>
      <c r="C51" s="70" t="s">
        <v>1907</v>
      </c>
      <c r="D51" s="70" t="s">
        <v>2522</v>
      </c>
      <c r="E51" s="70" t="s">
        <v>2524</v>
      </c>
      <c r="F51" s="70" t="s">
        <v>121</v>
      </c>
      <c r="G51" s="70" t="s">
        <v>2</v>
      </c>
    </row>
    <row r="52" spans="1:12" x14ac:dyDescent="0.15">
      <c r="A52" s="70" t="s">
        <v>2527</v>
      </c>
      <c r="B52" s="70" t="s">
        <v>1324</v>
      </c>
      <c r="C52" s="70">
        <v>0</v>
      </c>
      <c r="D52" s="70">
        <v>5</v>
      </c>
      <c r="E52" s="70">
        <v>3</v>
      </c>
      <c r="F52" s="70">
        <f>INDEX(数值规划表!$N$45:$V$53,E52,MATCH($B52,兵种定位,0))*(1+每级膨胀*(D52-1))*INDEX(数值规划表!$B$61:$B$71,组队本设计!C52+1)</f>
        <v>155.29920000000001</v>
      </c>
      <c r="G52" s="70">
        <f>INDEX(数值规划表!$E$45:$M$53,E52,MATCH($B52,兵种定位,0))*(1+每级膨胀*(D52-1))*INDEX(数值规划表!$B$61:$B$71,组队本设计!C52+1)</f>
        <v>51.766400000000004</v>
      </c>
    </row>
    <row r="53" spans="1:12" x14ac:dyDescent="0.15">
      <c r="A53" s="70" t="s">
        <v>2528</v>
      </c>
      <c r="B53" s="70" t="s">
        <v>2334</v>
      </c>
      <c r="C53" s="70">
        <v>0</v>
      </c>
      <c r="D53" s="70">
        <v>5</v>
      </c>
      <c r="E53" s="70">
        <v>3</v>
      </c>
      <c r="F53" s="70">
        <f>INDEX(数值规划表!$N$45:$V$53,E53,MATCH($B53,兵种定位,0))*(1+每级膨胀*(D53-1))*INDEX(数值规划表!$B$61:$B$71,组队本设计!C53+1)</f>
        <v>584.976</v>
      </c>
      <c r="G53" s="70">
        <f>INDEX(数值规划表!$E$45:$M$53,E53,MATCH($B53,兵种定位,0))*(1+每级膨胀*(D53-1))*INDEX(数值规划表!$B$61:$B$71,组队本设计!C53+1)</f>
        <v>34.171200000000006</v>
      </c>
    </row>
    <row r="54" spans="1:12" x14ac:dyDescent="0.15">
      <c r="A54" s="70" t="s">
        <v>2529</v>
      </c>
      <c r="B54" s="70" t="s">
        <v>2334</v>
      </c>
      <c r="C54" s="70">
        <v>0</v>
      </c>
      <c r="D54" s="70">
        <v>5</v>
      </c>
      <c r="E54" s="70">
        <v>3</v>
      </c>
      <c r="F54" s="70">
        <f>INDEX(数值规划表!$N$45:$V$53,E54,MATCH($B54,兵种定位,0))*(1+每级膨胀*(D54-1))*INDEX(数值规划表!$B$61:$B$71,组队本设计!C54+1)</f>
        <v>584.976</v>
      </c>
      <c r="G54" s="70">
        <f>INDEX(数值规划表!$E$45:$M$53,E54,MATCH($B54,兵种定位,0))*(1+每级膨胀*(D54-1))*INDEX(数值规划表!$B$61:$B$71,组队本设计!C54+1)</f>
        <v>34.171200000000006</v>
      </c>
    </row>
    <row r="55" spans="1:12" x14ac:dyDescent="0.15">
      <c r="A55" s="70" t="s">
        <v>2530</v>
      </c>
      <c r="B55" s="70" t="s">
        <v>114</v>
      </c>
      <c r="C55" s="70">
        <v>0</v>
      </c>
      <c r="D55" s="70">
        <v>5</v>
      </c>
      <c r="E55" s="70">
        <v>3</v>
      </c>
      <c r="F55" s="70">
        <f>INDEX(数值规划表!$N$45:$V$53,E55,MATCH($B55,兵种定位,0))*(1+每级膨胀*(D55-1))*INDEX(数值规划表!$B$61:$B$71,组队本设计!C55+1)</f>
        <v>183.25440000000003</v>
      </c>
      <c r="G55" s="70">
        <f>INDEX(数值规划表!$E$45:$M$53,E55,MATCH($B55,兵种定位,0))*(1+每级膨胀*(D55-1))*INDEX(数值规划表!$B$61:$B$71,组队本设计!C55+1)</f>
        <v>52.808000000000007</v>
      </c>
    </row>
    <row r="56" spans="1:12" x14ac:dyDescent="0.15">
      <c r="B56" s="31"/>
    </row>
    <row r="57" spans="1:12" x14ac:dyDescent="0.15">
      <c r="A57" s="70" t="s">
        <v>2633</v>
      </c>
      <c r="B57">
        <v>40</v>
      </c>
    </row>
    <row r="58" spans="1:12" x14ac:dyDescent="0.15">
      <c r="A58" s="70" t="s">
        <v>2635</v>
      </c>
      <c r="B58">
        <v>15</v>
      </c>
      <c r="C58" t="s">
        <v>2623</v>
      </c>
      <c r="D58">
        <v>15</v>
      </c>
      <c r="E58" t="s">
        <v>2637</v>
      </c>
      <c r="F58">
        <v>5</v>
      </c>
      <c r="G58" t="s">
        <v>2636</v>
      </c>
      <c r="H58">
        <f>B58*F28/E28/F58/3</f>
        <v>194.99199999999996</v>
      </c>
      <c r="I58" t="s">
        <v>2638</v>
      </c>
      <c r="J58">
        <v>3</v>
      </c>
      <c r="K58" t="s">
        <v>2639</v>
      </c>
      <c r="L58">
        <f>J58*G27*F58</f>
        <v>776.49600000000009</v>
      </c>
    </row>
    <row r="59" spans="1:12" s="70" customFormat="1" x14ac:dyDescent="0.15">
      <c r="A59" s="70" t="s">
        <v>2641</v>
      </c>
      <c r="B59" s="70">
        <f>B36*G52/2+G55</f>
        <v>328.89546666666661</v>
      </c>
    </row>
    <row r="60" spans="1:12" x14ac:dyDescent="0.15">
      <c r="A60" s="70" t="s">
        <v>2640</v>
      </c>
      <c r="B60">
        <f>B59*B57-L58*4</f>
        <v>10049.834666666664</v>
      </c>
    </row>
    <row r="63" spans="1:12" x14ac:dyDescent="0.15">
      <c r="A63" s="70" t="s">
        <v>2652</v>
      </c>
    </row>
    <row r="64" spans="1:12" s="70" customFormat="1" x14ac:dyDescent="0.15">
      <c r="B64" s="70" t="s">
        <v>2642</v>
      </c>
      <c r="C64" s="70" t="s">
        <v>2643</v>
      </c>
    </row>
    <row r="65" spans="1:4" x14ac:dyDescent="0.15">
      <c r="A65" s="70" t="s">
        <v>2644</v>
      </c>
      <c r="B65">
        <v>60000</v>
      </c>
      <c r="C65">
        <v>113</v>
      </c>
      <c r="D65" t="s">
        <v>2651</v>
      </c>
    </row>
    <row r="66" spans="1:4" x14ac:dyDescent="0.15">
      <c r="A66" s="70" t="s">
        <v>2645</v>
      </c>
      <c r="B66">
        <v>1250</v>
      </c>
      <c r="C66">
        <v>86</v>
      </c>
    </row>
    <row r="67" spans="1:4" x14ac:dyDescent="0.15">
      <c r="A67" s="70" t="s">
        <v>2646</v>
      </c>
      <c r="B67">
        <v>2900</v>
      </c>
      <c r="C67">
        <v>66</v>
      </c>
    </row>
    <row r="68" spans="1:4" x14ac:dyDescent="0.15">
      <c r="A68" s="70" t="s">
        <v>2647</v>
      </c>
      <c r="B68">
        <v>150</v>
      </c>
      <c r="C68" t="s">
        <v>2648</v>
      </c>
      <c r="D68" t="s">
        <v>2649</v>
      </c>
    </row>
    <row r="69" spans="1:4" x14ac:dyDescent="0.15">
      <c r="A69" s="70" t="s">
        <v>2655</v>
      </c>
      <c r="B69">
        <v>815</v>
      </c>
      <c r="C69">
        <v>188</v>
      </c>
    </row>
    <row r="70" spans="1:4" s="70" customFormat="1" x14ac:dyDescent="0.15">
      <c r="A70" s="70" t="s">
        <v>2656</v>
      </c>
      <c r="B70" s="70">
        <v>150</v>
      </c>
    </row>
    <row r="72" spans="1:4" x14ac:dyDescent="0.15">
      <c r="A72" s="70" t="s">
        <v>2653</v>
      </c>
    </row>
    <row r="73" spans="1:4" x14ac:dyDescent="0.15">
      <c r="B73" s="70" t="s">
        <v>2642</v>
      </c>
      <c r="C73" s="70" t="s">
        <v>2643</v>
      </c>
      <c r="D73" s="70"/>
    </row>
    <row r="74" spans="1:4" x14ac:dyDescent="0.15">
      <c r="A74" s="70" t="s">
        <v>2644</v>
      </c>
      <c r="B74" s="70">
        <v>90000</v>
      </c>
      <c r="C74" s="70">
        <v>206</v>
      </c>
      <c r="D74" s="70" t="s">
        <v>2651</v>
      </c>
    </row>
    <row r="75" spans="1:4" x14ac:dyDescent="0.15">
      <c r="A75" s="70" t="s">
        <v>2645</v>
      </c>
      <c r="B75" s="70">
        <v>2200</v>
      </c>
      <c r="C75" s="70">
        <v>160</v>
      </c>
      <c r="D75" s="70"/>
    </row>
    <row r="76" spans="1:4" x14ac:dyDescent="0.15">
      <c r="A76" s="70" t="s">
        <v>2646</v>
      </c>
      <c r="B76" s="70">
        <v>5200</v>
      </c>
      <c r="C76" s="70">
        <v>121</v>
      </c>
      <c r="D76" s="70"/>
    </row>
    <row r="77" spans="1:4" x14ac:dyDescent="0.15">
      <c r="A77" s="70" t="s">
        <v>2647</v>
      </c>
      <c r="B77" s="70">
        <v>250</v>
      </c>
      <c r="C77" s="70" t="s">
        <v>2648</v>
      </c>
      <c r="D77" s="70" t="s">
        <v>2649</v>
      </c>
    </row>
    <row r="78" spans="1:4" x14ac:dyDescent="0.15">
      <c r="A78" s="70" t="s">
        <v>2650</v>
      </c>
      <c r="B78" s="70">
        <v>1486</v>
      </c>
      <c r="C78" s="70">
        <v>344</v>
      </c>
      <c r="D78" s="70"/>
    </row>
    <row r="79" spans="1:4" s="70" customFormat="1" x14ac:dyDescent="0.15">
      <c r="A79" s="70" t="s">
        <v>2656</v>
      </c>
      <c r="B79" s="70">
        <v>250</v>
      </c>
    </row>
    <row r="81" spans="1:14" x14ac:dyDescent="0.15">
      <c r="A81" s="70" t="s">
        <v>2654</v>
      </c>
      <c r="B81" s="70"/>
      <c r="C81" s="70"/>
      <c r="D81" s="70"/>
    </row>
    <row r="82" spans="1:14" x14ac:dyDescent="0.15">
      <c r="B82" s="70" t="s">
        <v>2642</v>
      </c>
      <c r="C82" s="70" t="s">
        <v>2643</v>
      </c>
      <c r="D82" s="70"/>
    </row>
    <row r="83" spans="1:14" x14ac:dyDescent="0.15">
      <c r="A83" s="70" t="s">
        <v>2644</v>
      </c>
      <c r="B83" s="70">
        <v>150000</v>
      </c>
      <c r="C83" s="70">
        <v>400</v>
      </c>
      <c r="D83" s="70" t="s">
        <v>2651</v>
      </c>
    </row>
    <row r="84" spans="1:14" x14ac:dyDescent="0.15">
      <c r="A84" s="70" t="s">
        <v>2645</v>
      </c>
      <c r="B84" s="70">
        <v>4300</v>
      </c>
      <c r="C84" s="70">
        <v>304</v>
      </c>
      <c r="D84" s="70"/>
    </row>
    <row r="85" spans="1:14" x14ac:dyDescent="0.15">
      <c r="A85" s="70" t="s">
        <v>2646</v>
      </c>
      <c r="B85" s="70">
        <v>10000</v>
      </c>
      <c r="C85" s="70">
        <v>232</v>
      </c>
      <c r="D85" s="70"/>
    </row>
    <row r="86" spans="1:14" x14ac:dyDescent="0.15">
      <c r="A86" s="70" t="s">
        <v>2647</v>
      </c>
      <c r="B86" s="70">
        <v>500</v>
      </c>
      <c r="C86" s="70" t="s">
        <v>2648</v>
      </c>
      <c r="D86" s="70" t="s">
        <v>2649</v>
      </c>
    </row>
    <row r="87" spans="1:14" x14ac:dyDescent="0.15">
      <c r="A87" s="70" t="s">
        <v>2650</v>
      </c>
      <c r="B87" s="70">
        <v>2855</v>
      </c>
      <c r="C87" s="70">
        <v>660</v>
      </c>
      <c r="D87" s="70"/>
    </row>
    <row r="88" spans="1:14" x14ac:dyDescent="0.15">
      <c r="A88" s="70" t="s">
        <v>2656</v>
      </c>
      <c r="B88" s="70">
        <v>400</v>
      </c>
    </row>
    <row r="92" spans="1:14" ht="113.25" customHeight="1" x14ac:dyDescent="0.15">
      <c r="A92" s="103" t="s">
        <v>3061</v>
      </c>
      <c r="B92" s="102"/>
      <c r="C92" s="102"/>
      <c r="D92" s="102"/>
      <c r="E92" s="102"/>
      <c r="F92" s="102"/>
      <c r="G92" s="102"/>
      <c r="H92" s="102"/>
      <c r="I92" s="102"/>
      <c r="J92" s="102"/>
      <c r="K92" s="102"/>
      <c r="L92" s="102"/>
      <c r="M92" s="102"/>
      <c r="N92" s="102"/>
    </row>
    <row r="94" spans="1:14" x14ac:dyDescent="0.15">
      <c r="A94" s="70" t="s">
        <v>2531</v>
      </c>
      <c r="B94" s="70">
        <v>3</v>
      </c>
      <c r="C94" s="70" t="s">
        <v>2535</v>
      </c>
      <c r="D94" s="70">
        <v>20</v>
      </c>
      <c r="E94" s="70" t="s">
        <v>2536</v>
      </c>
      <c r="F94" s="70">
        <v>10</v>
      </c>
      <c r="G94" s="70"/>
    </row>
    <row r="95" spans="1:14" x14ac:dyDescent="0.15">
      <c r="A95" s="70" t="s">
        <v>2513</v>
      </c>
      <c r="B95" s="70"/>
      <c r="C95" s="70"/>
      <c r="D95" s="70"/>
      <c r="E95" s="70"/>
      <c r="F95" s="70"/>
      <c r="G95" s="70"/>
    </row>
    <row r="96" spans="1:14" x14ac:dyDescent="0.15">
      <c r="A96" s="70" t="s">
        <v>2526</v>
      </c>
      <c r="B96" s="70" t="s">
        <v>2525</v>
      </c>
      <c r="C96" s="70" t="s">
        <v>2523</v>
      </c>
      <c r="D96" s="70" t="s">
        <v>2522</v>
      </c>
      <c r="E96" s="70" t="s">
        <v>2524</v>
      </c>
      <c r="F96" s="70" t="s">
        <v>2520</v>
      </c>
      <c r="G96" s="70" t="s">
        <v>2521</v>
      </c>
    </row>
    <row r="97" spans="1:8" x14ac:dyDescent="0.15">
      <c r="A97" s="70" t="s">
        <v>2527</v>
      </c>
      <c r="B97" s="70" t="s">
        <v>2518</v>
      </c>
      <c r="C97" s="70">
        <v>0</v>
      </c>
      <c r="D97" s="70">
        <v>5</v>
      </c>
      <c r="E97" s="70">
        <v>3</v>
      </c>
      <c r="F97" s="70">
        <f>INDEX(数值规划表!$N$45:$V$53,E97,MATCH($B97,兵种定位,0))*(1+每级膨胀*(D97-1))*INDEX(数值规划表!$B$61:$B$71,组队本设计!C97+1)</f>
        <v>155.29920000000001</v>
      </c>
      <c r="G97" s="70">
        <f>INDEX(数值规划表!$E$45:$M$53,E97,MATCH($B97,兵种定位,0))*(1+每级膨胀*(D97-1))*INDEX(数值规划表!$B$61:$B$71,组队本设计!C97+1)</f>
        <v>51.766400000000004</v>
      </c>
    </row>
    <row r="98" spans="1:8" x14ac:dyDescent="0.15">
      <c r="A98" s="70" t="s">
        <v>2528</v>
      </c>
      <c r="B98" s="70" t="s">
        <v>2519</v>
      </c>
      <c r="C98" s="70">
        <v>0</v>
      </c>
      <c r="D98" s="70">
        <v>5</v>
      </c>
      <c r="E98" s="70">
        <v>5</v>
      </c>
      <c r="F98" s="70">
        <f>INDEX(数值规划表!$N$45:$V$53,E98,MATCH($B98,兵种定位,0))*(1+每级膨胀*(D98-1))*INDEX(数值规划表!$B$61:$B$71,组队本设计!C98+1)</f>
        <v>934.86400000000015</v>
      </c>
      <c r="G98" s="70">
        <f>INDEX(数值规划表!$E$45:$M$53,E98,MATCH($B98,兵种定位,0))*(1+每级膨胀*(D98-1))*INDEX(数值规划表!$B$61:$B$71,组队本设计!C98+1)</f>
        <v>42.000000000000007</v>
      </c>
    </row>
    <row r="99" spans="1:8" x14ac:dyDescent="0.15">
      <c r="A99" s="70" t="s">
        <v>2529</v>
      </c>
      <c r="B99" s="70" t="s">
        <v>2519</v>
      </c>
      <c r="C99" s="70">
        <v>2</v>
      </c>
      <c r="D99" s="70">
        <v>5</v>
      </c>
      <c r="E99" s="70">
        <v>3</v>
      </c>
      <c r="F99" s="70">
        <f>INDEX(数值规划表!$N$45:$V$53,E99,MATCH($B99,兵种定位,0))*(1+每级膨胀*(D99-1))*INDEX(数值规划表!$B$61:$B$71,组队本设计!C99+1)</f>
        <v>733.79389440000011</v>
      </c>
      <c r="G99" s="70">
        <f>INDEX(数值规划表!$E$45:$M$53,E99,MATCH($B99,兵种定位,0))*(1+每级膨胀*(D99-1))*INDEX(数值规划表!$B$61:$B$71,组队本设计!C99+1)</f>
        <v>42.86435328000001</v>
      </c>
    </row>
    <row r="100" spans="1:8" x14ac:dyDescent="0.15">
      <c r="A100" s="70" t="s">
        <v>2685</v>
      </c>
      <c r="B100" s="70" t="s">
        <v>114</v>
      </c>
      <c r="C100" s="70">
        <v>2</v>
      </c>
      <c r="D100" s="70">
        <v>5</v>
      </c>
      <c r="E100" s="70">
        <v>3</v>
      </c>
      <c r="F100" s="70">
        <f>INDEX(数值规划表!$N$45:$V$53,E100,MATCH($B100,兵种定位,0))*(1+每级膨胀*(D100-1))*INDEX(数值规划表!$B$61:$B$71,组队本设计!C100+1)</f>
        <v>229.87431936000007</v>
      </c>
      <c r="G100" s="70">
        <f>INDEX(数值规划表!$E$45:$M$53,E100,MATCH($B100,兵种定位,0))*(1+每级膨胀*(D100-1))*INDEX(数值规划表!$B$61:$B$71,组队本设计!C100+1)</f>
        <v>66.24235520000002</v>
      </c>
    </row>
    <row r="102" spans="1:8" x14ac:dyDescent="0.15">
      <c r="A102" s="70" t="s">
        <v>2682</v>
      </c>
    </row>
    <row r="103" spans="1:8" x14ac:dyDescent="0.15">
      <c r="A103" s="70" t="s">
        <v>2978</v>
      </c>
      <c r="B103" s="83">
        <f>20+F105*2</f>
        <v>26</v>
      </c>
      <c r="C103" t="s">
        <v>2972</v>
      </c>
      <c r="D103">
        <f>G100*2+(B103-4)/E97*G97</f>
        <v>512.10497706666672</v>
      </c>
    </row>
    <row r="104" spans="1:8" x14ac:dyDescent="0.15">
      <c r="A104" s="70" t="s">
        <v>2971</v>
      </c>
      <c r="B104">
        <v>6</v>
      </c>
      <c r="C104" t="s">
        <v>2973</v>
      </c>
      <c r="D104">
        <f>D103*B104</f>
        <v>3072.6298624000001</v>
      </c>
    </row>
    <row r="105" spans="1:8" x14ac:dyDescent="0.15">
      <c r="A105" s="70" t="s">
        <v>2975</v>
      </c>
      <c r="B105">
        <v>6</v>
      </c>
      <c r="C105" t="s">
        <v>2974</v>
      </c>
      <c r="D105">
        <f>B105*D103</f>
        <v>3072.6298624000001</v>
      </c>
      <c r="E105" t="s">
        <v>2982</v>
      </c>
      <c r="F105">
        <f>B106/3*2*(1-D106)</f>
        <v>3.0000000000000004</v>
      </c>
    </row>
    <row r="106" spans="1:8" x14ac:dyDescent="0.15">
      <c r="A106" s="70" t="s">
        <v>2976</v>
      </c>
      <c r="B106">
        <v>15</v>
      </c>
      <c r="C106" t="s">
        <v>2979</v>
      </c>
      <c r="D106" s="82">
        <v>0.7</v>
      </c>
      <c r="E106" t="s">
        <v>2980</v>
      </c>
      <c r="F106">
        <f>B106/3*2*D106</f>
        <v>7</v>
      </c>
      <c r="G106" t="s">
        <v>2981</v>
      </c>
      <c r="H106">
        <f>F106*F98/E98</f>
        <v>1308.8096</v>
      </c>
    </row>
    <row r="107" spans="1:8" x14ac:dyDescent="0.15">
      <c r="A107" s="70" t="s">
        <v>2983</v>
      </c>
      <c r="B107" s="82">
        <v>0.5</v>
      </c>
      <c r="C107" s="70" t="s">
        <v>2977</v>
      </c>
      <c r="D107">
        <f>H106*B107/B104*3/7</f>
        <v>46.743200000000002</v>
      </c>
    </row>
    <row r="108" spans="1:8" s="70" customFormat="1" x14ac:dyDescent="0.15">
      <c r="A108" s="70" t="s">
        <v>2984</v>
      </c>
      <c r="B108" s="82">
        <v>0.1</v>
      </c>
      <c r="C108" s="70">
        <f>H106*B108/B105*1.5</f>
        <v>32.720240000000004</v>
      </c>
      <c r="F108" s="70" t="s">
        <v>2986</v>
      </c>
      <c r="G108" s="82">
        <v>0.4</v>
      </c>
      <c r="H108" s="70">
        <f>D105*G108</f>
        <v>1229.0519449600001</v>
      </c>
    </row>
    <row r="109" spans="1:8" s="70" customFormat="1" x14ac:dyDescent="0.15">
      <c r="A109" s="70" t="s">
        <v>2985</v>
      </c>
      <c r="B109" s="82">
        <v>0.3</v>
      </c>
      <c r="C109" s="70">
        <f>H106*B109/B105*1.5</f>
        <v>98.160719999999998</v>
      </c>
      <c r="D109" s="70">
        <f>C109*0.7</f>
        <v>68.712503999999996</v>
      </c>
      <c r="E109" s="70">
        <f>C109*0.5</f>
        <v>49.080359999999999</v>
      </c>
      <c r="F109" s="70" t="s">
        <v>2987</v>
      </c>
      <c r="G109" s="82">
        <v>0.2</v>
      </c>
      <c r="H109" s="70">
        <f>D105*G109</f>
        <v>614.52597248000006</v>
      </c>
    </row>
    <row r="110" spans="1:8" s="70" customFormat="1" x14ac:dyDescent="0.15"/>
    <row r="111" spans="1:8" s="70" customFormat="1" x14ac:dyDescent="0.15"/>
    <row r="112" spans="1:8" s="70" customFormat="1" x14ac:dyDescent="0.15"/>
    <row r="113" spans="1:10" s="70" customFormat="1" x14ac:dyDescent="0.15">
      <c r="A113" s="70" t="s">
        <v>2688</v>
      </c>
      <c r="B113" s="70">
        <f>(D103/B94*2-F104)*0.7</f>
        <v>238.98232263111112</v>
      </c>
    </row>
    <row r="114" spans="1:10" s="70" customFormat="1" x14ac:dyDescent="0.15"/>
    <row r="115" spans="1:10" x14ac:dyDescent="0.15">
      <c r="A115" s="70" t="s">
        <v>2686</v>
      </c>
    </row>
    <row r="116" spans="1:10" x14ac:dyDescent="0.15">
      <c r="A116" s="70" t="s">
        <v>2683</v>
      </c>
      <c r="B116" s="82">
        <v>0.25</v>
      </c>
      <c r="C116" s="70" t="s">
        <v>2684</v>
      </c>
      <c r="D116" s="70">
        <v>60</v>
      </c>
      <c r="E116" t="s">
        <v>2687</v>
      </c>
      <c r="F116">
        <f>D116/B94*2*0.3/2+B113</f>
        <v>244.98232263111112</v>
      </c>
      <c r="G116" t="s">
        <v>2689</v>
      </c>
      <c r="H116">
        <f>(F116/E97*G97+G100)*D116</f>
        <v>257611.59943702305</v>
      </c>
      <c r="I116" t="s">
        <v>2690</v>
      </c>
      <c r="J116">
        <f>(F98/E98/B94*2+F99/60*2)*B116</f>
        <v>37.277082453333342</v>
      </c>
    </row>
    <row r="117" spans="1:10" x14ac:dyDescent="0.15">
      <c r="I117" t="s">
        <v>2691</v>
      </c>
      <c r="J117">
        <f>J116*4</f>
        <v>149.10832981333337</v>
      </c>
    </row>
    <row r="118" spans="1:10" x14ac:dyDescent="0.15">
      <c r="A118" s="70" t="s">
        <v>2692</v>
      </c>
    </row>
    <row r="119" spans="1:10" x14ac:dyDescent="0.15">
      <c r="G119" s="70" t="s">
        <v>2689</v>
      </c>
      <c r="H119">
        <f>H116</f>
        <v>257611.59943702305</v>
      </c>
    </row>
    <row r="121" spans="1:10" x14ac:dyDescent="0.15">
      <c r="A121" s="70" t="s">
        <v>2652</v>
      </c>
      <c r="B121" s="70"/>
      <c r="C121" s="70"/>
    </row>
    <row r="122" spans="1:10" x14ac:dyDescent="0.15">
      <c r="B122" s="70" t="s">
        <v>2642</v>
      </c>
      <c r="C122" s="70" t="s">
        <v>2643</v>
      </c>
      <c r="D122" t="s">
        <v>2693</v>
      </c>
      <c r="E122" t="s">
        <v>2694</v>
      </c>
      <c r="F122" t="s">
        <v>2695</v>
      </c>
      <c r="G122" t="s">
        <v>2698</v>
      </c>
      <c r="H122" t="s">
        <v>2699</v>
      </c>
    </row>
    <row r="123" spans="1:10" x14ac:dyDescent="0.15">
      <c r="A123" s="70" t="s">
        <v>2696</v>
      </c>
      <c r="B123">
        <v>3575</v>
      </c>
      <c r="C123">
        <v>50</v>
      </c>
      <c r="D123">
        <v>1</v>
      </c>
      <c r="E123">
        <v>1</v>
      </c>
      <c r="F123">
        <v>1</v>
      </c>
      <c r="G123">
        <f>C123*D123*F123</f>
        <v>50</v>
      </c>
      <c r="H123">
        <f>B123*E123</f>
        <v>3575</v>
      </c>
    </row>
    <row r="124" spans="1:10" x14ac:dyDescent="0.15">
      <c r="A124" s="70" t="s">
        <v>2697</v>
      </c>
      <c r="B124">
        <v>25000</v>
      </c>
      <c r="C124">
        <v>50</v>
      </c>
      <c r="D124">
        <v>1.5</v>
      </c>
      <c r="E124">
        <v>1</v>
      </c>
      <c r="F124">
        <v>1</v>
      </c>
      <c r="G124" s="70">
        <f>C124*D124*F124</f>
        <v>75</v>
      </c>
      <c r="H124" s="70">
        <f>B124*E124</f>
        <v>25000</v>
      </c>
    </row>
    <row r="125" spans="1:10" s="70" customFormat="1" x14ac:dyDescent="0.15">
      <c r="A125" s="70" t="s">
        <v>2988</v>
      </c>
      <c r="B125" s="70">
        <v>1400</v>
      </c>
      <c r="C125" s="70">
        <v>35</v>
      </c>
      <c r="D125" s="70">
        <v>0.9</v>
      </c>
      <c r="E125" s="70">
        <v>1</v>
      </c>
      <c r="F125" s="70">
        <v>1</v>
      </c>
      <c r="G125" s="70">
        <f>C125*D125*F125</f>
        <v>31.5</v>
      </c>
      <c r="H125" s="70">
        <f t="shared" ref="H125:H126" si="0">B125*E125</f>
        <v>1400</v>
      </c>
    </row>
    <row r="126" spans="1:10" s="70" customFormat="1" x14ac:dyDescent="0.15">
      <c r="A126" s="70" t="s">
        <v>2989</v>
      </c>
      <c r="B126" s="70">
        <v>700</v>
      </c>
      <c r="C126" s="70">
        <v>103</v>
      </c>
      <c r="D126" s="70">
        <v>1.2</v>
      </c>
      <c r="E126" s="70">
        <v>1</v>
      </c>
      <c r="F126" s="70">
        <v>0.7</v>
      </c>
      <c r="G126" s="70">
        <f t="shared" ref="G126:G127" si="1">C126*D126*F126</f>
        <v>86.52</v>
      </c>
      <c r="H126" s="70">
        <f t="shared" si="0"/>
        <v>700</v>
      </c>
    </row>
    <row r="127" spans="1:10" s="70" customFormat="1" x14ac:dyDescent="0.15">
      <c r="C127" s="70">
        <v>103</v>
      </c>
      <c r="D127" s="70">
        <v>1</v>
      </c>
      <c r="F127" s="70">
        <v>0.5</v>
      </c>
      <c r="G127" s="70">
        <f t="shared" si="1"/>
        <v>51.5</v>
      </c>
    </row>
    <row r="128" spans="1:10" s="70" customFormat="1" x14ac:dyDescent="0.15"/>
    <row r="130" spans="1:8" x14ac:dyDescent="0.15">
      <c r="A130" s="70" t="s">
        <v>2727</v>
      </c>
    </row>
    <row r="131" spans="1:8" x14ac:dyDescent="0.15">
      <c r="B131" s="70" t="s">
        <v>2642</v>
      </c>
      <c r="C131" s="70" t="s">
        <v>2643</v>
      </c>
      <c r="D131" s="70" t="s">
        <v>2693</v>
      </c>
      <c r="E131" s="70" t="s">
        <v>2694</v>
      </c>
      <c r="F131" s="70" t="s">
        <v>2695</v>
      </c>
      <c r="G131" s="70" t="s">
        <v>2698</v>
      </c>
      <c r="H131" s="70" t="s">
        <v>2699</v>
      </c>
    </row>
    <row r="132" spans="1:8" x14ac:dyDescent="0.15">
      <c r="A132" s="70" t="s">
        <v>2696</v>
      </c>
      <c r="B132" s="70">
        <v>5360</v>
      </c>
      <c r="C132" s="70">
        <v>100</v>
      </c>
      <c r="D132" s="70">
        <v>1</v>
      </c>
      <c r="E132" s="70">
        <v>1</v>
      </c>
      <c r="F132" s="70">
        <v>1</v>
      </c>
      <c r="G132" s="70">
        <f>C132*D132*F132</f>
        <v>100</v>
      </c>
      <c r="H132" s="70">
        <f>B132*E132</f>
        <v>5360</v>
      </c>
    </row>
    <row r="133" spans="1:8" x14ac:dyDescent="0.15">
      <c r="A133" s="70" t="s">
        <v>2697</v>
      </c>
      <c r="B133" s="70">
        <v>37500</v>
      </c>
      <c r="C133" s="70">
        <v>100</v>
      </c>
      <c r="D133" s="70">
        <v>1.5</v>
      </c>
      <c r="E133" s="70">
        <v>1</v>
      </c>
      <c r="F133" s="70">
        <v>1</v>
      </c>
      <c r="G133" s="70">
        <f>C133*D133*F133</f>
        <v>150</v>
      </c>
      <c r="H133" s="70">
        <f>B133*E133</f>
        <v>37500</v>
      </c>
    </row>
    <row r="134" spans="1:8" s="70" customFormat="1" x14ac:dyDescent="0.15">
      <c r="A134" s="70" t="s">
        <v>2988</v>
      </c>
      <c r="B134" s="70">
        <v>2100</v>
      </c>
      <c r="C134" s="70">
        <v>70</v>
      </c>
      <c r="D134" s="70">
        <v>0.9</v>
      </c>
      <c r="E134" s="70">
        <v>1</v>
      </c>
      <c r="F134" s="70">
        <v>1</v>
      </c>
      <c r="G134" s="70">
        <f t="shared" ref="G134:G136" si="2">C134*D134*F134</f>
        <v>63</v>
      </c>
      <c r="H134" s="70">
        <f t="shared" ref="H134:H135" si="3">B134*E134</f>
        <v>2100</v>
      </c>
    </row>
    <row r="135" spans="1:8" s="70" customFormat="1" x14ac:dyDescent="0.15">
      <c r="A135" s="70" t="s">
        <v>2989</v>
      </c>
      <c r="B135" s="70">
        <v>1000</v>
      </c>
      <c r="C135" s="70">
        <v>200</v>
      </c>
      <c r="D135" s="70">
        <v>1.2</v>
      </c>
      <c r="E135" s="70">
        <v>1</v>
      </c>
      <c r="F135" s="70">
        <v>0.7</v>
      </c>
      <c r="G135" s="70">
        <f t="shared" si="2"/>
        <v>168</v>
      </c>
      <c r="H135" s="70">
        <f t="shared" si="3"/>
        <v>1000</v>
      </c>
    </row>
    <row r="136" spans="1:8" x14ac:dyDescent="0.15">
      <c r="C136" s="70">
        <v>200</v>
      </c>
      <c r="D136" s="70">
        <v>1</v>
      </c>
      <c r="E136" s="70">
        <v>1</v>
      </c>
      <c r="F136" s="70">
        <v>0.5</v>
      </c>
      <c r="G136" s="70">
        <f t="shared" si="2"/>
        <v>100</v>
      </c>
    </row>
    <row r="137" spans="1:8" s="70" customFormat="1" x14ac:dyDescent="0.15"/>
    <row r="138" spans="1:8" x14ac:dyDescent="0.15">
      <c r="A138" s="70" t="s">
        <v>2728</v>
      </c>
      <c r="B138" s="70"/>
      <c r="C138" s="70"/>
      <c r="D138" s="70"/>
      <c r="E138" s="70"/>
      <c r="F138" s="70"/>
      <c r="G138" s="70"/>
      <c r="H138" s="70"/>
    </row>
    <row r="139" spans="1:8" x14ac:dyDescent="0.15">
      <c r="B139" s="70" t="s">
        <v>2642</v>
      </c>
      <c r="C139" s="70" t="s">
        <v>2643</v>
      </c>
      <c r="D139" s="70" t="s">
        <v>2693</v>
      </c>
      <c r="E139" s="70" t="s">
        <v>2694</v>
      </c>
      <c r="F139" s="70" t="s">
        <v>2695</v>
      </c>
      <c r="G139" s="70" t="s">
        <v>2698</v>
      </c>
      <c r="H139" s="70" t="s">
        <v>2699</v>
      </c>
    </row>
    <row r="140" spans="1:8" x14ac:dyDescent="0.15">
      <c r="A140" s="70" t="s">
        <v>2696</v>
      </c>
      <c r="B140" s="70">
        <v>10000</v>
      </c>
      <c r="C140" s="70">
        <v>200</v>
      </c>
      <c r="D140" s="70">
        <v>1</v>
      </c>
      <c r="E140" s="70">
        <v>1</v>
      </c>
      <c r="F140" s="70">
        <v>1</v>
      </c>
      <c r="G140" s="70">
        <f>C140*D140*F140</f>
        <v>200</v>
      </c>
      <c r="H140" s="70">
        <f>B140*E140</f>
        <v>10000</v>
      </c>
    </row>
    <row r="141" spans="1:8" x14ac:dyDescent="0.15">
      <c r="A141" s="70" t="s">
        <v>2697</v>
      </c>
      <c r="B141" s="70">
        <v>75000</v>
      </c>
      <c r="C141" s="70">
        <v>200</v>
      </c>
      <c r="D141" s="70">
        <v>1.5</v>
      </c>
      <c r="E141" s="70">
        <v>1</v>
      </c>
      <c r="F141" s="70">
        <v>1</v>
      </c>
      <c r="G141" s="70">
        <f>C141*D141*F141</f>
        <v>300</v>
      </c>
      <c r="H141" s="70">
        <f>B141*E141</f>
        <v>75000</v>
      </c>
    </row>
    <row r="142" spans="1:8" s="70" customFormat="1" x14ac:dyDescent="0.15">
      <c r="A142" s="70" t="s">
        <v>2988</v>
      </c>
      <c r="B142" s="70">
        <v>4200</v>
      </c>
      <c r="C142" s="70">
        <v>140</v>
      </c>
      <c r="D142" s="70">
        <v>0.9</v>
      </c>
      <c r="E142" s="70">
        <v>1</v>
      </c>
      <c r="F142" s="70">
        <v>1</v>
      </c>
      <c r="G142" s="70">
        <f t="shared" ref="G142:G144" si="4">C142*D142*F142</f>
        <v>126</v>
      </c>
      <c r="H142" s="70">
        <f t="shared" ref="H142:H144" si="5">B142*E142</f>
        <v>4200</v>
      </c>
    </row>
    <row r="143" spans="1:8" x14ac:dyDescent="0.15">
      <c r="A143" s="70" t="s">
        <v>2989</v>
      </c>
      <c r="B143">
        <v>2000</v>
      </c>
      <c r="C143">
        <v>400</v>
      </c>
      <c r="D143" s="70">
        <v>1.2</v>
      </c>
      <c r="E143" s="70">
        <v>1</v>
      </c>
      <c r="F143">
        <v>0.7</v>
      </c>
      <c r="G143" s="70">
        <f t="shared" si="4"/>
        <v>336</v>
      </c>
      <c r="H143" s="70">
        <f t="shared" si="5"/>
        <v>2000</v>
      </c>
    </row>
    <row r="144" spans="1:8" x14ac:dyDescent="0.15">
      <c r="C144" s="70">
        <v>400</v>
      </c>
      <c r="D144" s="70">
        <v>1</v>
      </c>
      <c r="E144" s="70">
        <v>1</v>
      </c>
      <c r="F144">
        <v>0.5</v>
      </c>
      <c r="G144" s="70">
        <f t="shared" si="4"/>
        <v>200</v>
      </c>
      <c r="H144" s="70">
        <f t="shared" si="5"/>
        <v>0</v>
      </c>
    </row>
  </sheetData>
  <mergeCells count="2">
    <mergeCell ref="A2:N2"/>
    <mergeCell ref="A92:N92"/>
  </mergeCells>
  <phoneticPr fontId="5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AL118"/>
  <sheetViews>
    <sheetView workbookViewId="0">
      <pane ySplit="1" topLeftCell="A41" activePane="bottomLeft" state="frozen"/>
      <selection activeCell="A2" sqref="A2"/>
      <selection pane="bottomLeft" activeCell="L54" sqref="L54"/>
    </sheetView>
  </sheetViews>
  <sheetFormatPr defaultRowHeight="13.5" x14ac:dyDescent="0.15"/>
  <cols>
    <col min="1" max="1" width="9" customWidth="1"/>
    <col min="2" max="2" width="13" customWidth="1"/>
    <col min="3" max="3" width="10.625" customWidth="1"/>
    <col min="4" max="4" width="25.625" customWidth="1"/>
    <col min="5" max="9" width="9" customWidth="1"/>
    <col min="10" max="10" width="9" style="20" customWidth="1"/>
    <col min="11" max="11" width="9" customWidth="1"/>
    <col min="12" max="12" width="9" style="19" customWidth="1"/>
    <col min="13" max="18" width="9" customWidth="1"/>
    <col min="19" max="19" width="9" style="42" customWidth="1"/>
    <col min="20" max="20" width="9.375" style="20" customWidth="1"/>
    <col min="21" max="22" width="9" customWidth="1"/>
    <col min="23" max="23" width="9.5" customWidth="1"/>
    <col min="24" max="24" width="9" customWidth="1"/>
    <col min="25" max="26" width="9" style="70" customWidth="1"/>
    <col min="27" max="29" width="9" customWidth="1"/>
    <col min="30" max="31" width="9" style="70" customWidth="1"/>
    <col min="32" max="32" width="9" customWidth="1"/>
    <col min="33" max="33" width="11.625" bestFit="1" customWidth="1"/>
    <col min="34" max="34" width="31.125" customWidth="1"/>
  </cols>
  <sheetData>
    <row r="1" spans="1:38" ht="18" customHeight="1" x14ac:dyDescent="0.15">
      <c r="A1" s="2" t="s">
        <v>44</v>
      </c>
      <c r="B1" s="2" t="s">
        <v>0</v>
      </c>
      <c r="C1" s="43" t="s">
        <v>1912</v>
      </c>
      <c r="D1" s="2" t="s">
        <v>1</v>
      </c>
      <c r="E1" s="2" t="s">
        <v>3</v>
      </c>
      <c r="F1" s="2" t="s">
        <v>122</v>
      </c>
      <c r="G1" s="2" t="s">
        <v>123</v>
      </c>
      <c r="H1" s="2" t="s">
        <v>128</v>
      </c>
      <c r="I1" s="2" t="s">
        <v>5</v>
      </c>
      <c r="J1" s="2" t="s">
        <v>1325</v>
      </c>
      <c r="K1" s="2" t="s">
        <v>7</v>
      </c>
      <c r="L1" s="2" t="s">
        <v>1317</v>
      </c>
      <c r="M1" s="2" t="s">
        <v>129</v>
      </c>
      <c r="N1" s="2" t="s">
        <v>130</v>
      </c>
      <c r="O1" s="2" t="s">
        <v>34</v>
      </c>
      <c r="P1" s="2" t="s">
        <v>122</v>
      </c>
      <c r="Q1" s="2" t="s">
        <v>123</v>
      </c>
      <c r="R1" s="2" t="s">
        <v>6</v>
      </c>
      <c r="S1" s="2" t="s">
        <v>1752</v>
      </c>
      <c r="T1" s="2" t="s">
        <v>1319</v>
      </c>
      <c r="U1" s="2" t="s">
        <v>122</v>
      </c>
      <c r="V1" s="2" t="s">
        <v>123</v>
      </c>
      <c r="W1" s="2" t="s">
        <v>122</v>
      </c>
      <c r="X1" s="2" t="s">
        <v>123</v>
      </c>
      <c r="Y1" s="2" t="s">
        <v>2726</v>
      </c>
      <c r="Z1" s="2" t="s">
        <v>2416</v>
      </c>
      <c r="AA1" s="2" t="s">
        <v>134</v>
      </c>
      <c r="AB1" s="2" t="s">
        <v>135</v>
      </c>
      <c r="AC1" s="75" t="s">
        <v>2405</v>
      </c>
      <c r="AD1" s="76" t="s">
        <v>2412</v>
      </c>
      <c r="AF1" s="49" t="s">
        <v>1911</v>
      </c>
    </row>
    <row r="2" spans="1:38" ht="99.95" customHeight="1" x14ac:dyDescent="0.15">
      <c r="A2" s="8">
        <v>1</v>
      </c>
      <c r="B2" s="8" t="s">
        <v>43</v>
      </c>
      <c r="C2" s="8">
        <v>1023</v>
      </c>
      <c r="D2" s="4"/>
      <c r="E2" s="4" t="s">
        <v>2658</v>
      </c>
      <c r="F2" s="15">
        <f>INDEX(数值规划表!$H$16:$J$122,MATCH(卡牌图鉴!E2,数值规划表!$F$16:$F$21,0),1)</f>
        <v>1.1200000000000001</v>
      </c>
      <c r="G2" s="15">
        <f>INDEX(数值规划表!$H$16:$J$21,MATCH(卡牌图鉴!E2,数值规划表!$F$16:$F$21,0),2)</f>
        <v>1.1200000000000001</v>
      </c>
      <c r="H2" s="15">
        <f>INDEX(数值规划表!$J$16:$J$21,MATCH(卡牌图鉴!E2,数值规划表!$F$16:$F$21,0))</f>
        <v>1.1000000000000001</v>
      </c>
      <c r="I2" s="4" t="s">
        <v>118</v>
      </c>
      <c r="J2" s="15">
        <f>INDEX(数值规划表!$B$7:$J$7,MATCH(卡牌图鉴!I2,数值规划表!$B$4:$J$4,0))</f>
        <v>4</v>
      </c>
      <c r="K2" s="4">
        <v>2</v>
      </c>
      <c r="L2" s="12">
        <v>2</v>
      </c>
      <c r="M2" s="15">
        <f>INDEX(数值规划表!$E$45:$M$54,MATCH(卡牌图鉴!K2,数值规划表!$A$45:$A$54,0),MATCH(卡牌图鉴!I2,数值规划表!$E$44:$M$44,0))</f>
        <v>42.18</v>
      </c>
      <c r="N2" s="15">
        <f>INDEX(数值规划表!$N$45:$V$54,MATCH(卡牌图鉴!K2,数值规划表!$A$45:$A$54,0),MATCH(卡牌图鉴!I2,数值规划表!$E$44:$M$44,0))</f>
        <v>142.77000000000001</v>
      </c>
      <c r="O2" s="8">
        <v>1</v>
      </c>
      <c r="P2" s="15">
        <f>INDEX(数值规划表!$B$32:$F$33,2,卡牌图鉴!O2)</f>
        <v>1</v>
      </c>
      <c r="Q2" s="15">
        <f>INDEX(数值规划表!$B$32:$F$33,1,卡牌图鉴!O2)</f>
        <v>1</v>
      </c>
      <c r="R2" s="4" t="s">
        <v>36</v>
      </c>
      <c r="S2" s="12">
        <v>1</v>
      </c>
      <c r="T2" s="15">
        <f>INDEX(名称表!$B$4:$B$7,MATCH(卡牌图鉴!R2,品质名称,0))</f>
        <v>1</v>
      </c>
      <c r="U2" s="15">
        <f>INDEX(数值规划表!$L$30:$M$33,MATCH(卡牌图鉴!R2,品质名称,0),2)</f>
        <v>1</v>
      </c>
      <c r="V2" s="15">
        <f>INDEX(数值规划表!$L$30:$M$33,MATCH(卡牌图鉴!R2,数值规划表!$K$30:$K$33,0),1)</f>
        <v>1</v>
      </c>
      <c r="W2" s="4">
        <v>1</v>
      </c>
      <c r="X2" s="4">
        <v>1</v>
      </c>
      <c r="Y2" s="12">
        <v>1</v>
      </c>
      <c r="Z2" s="12">
        <v>1</v>
      </c>
      <c r="AA2" s="15">
        <f>ROUND(F2*M2*P2*U2*W2*Y2,2)</f>
        <v>47.24</v>
      </c>
      <c r="AB2" s="15">
        <f>ROUND(N2*G2*Q2*V2*X2*Z2,2)</f>
        <v>159.9</v>
      </c>
      <c r="AC2" s="4" t="s">
        <v>1930</v>
      </c>
      <c r="AD2" s="15">
        <f t="shared" ref="AD2:AD26" si="0">INDEX(寻敌范围值,MATCH(AC2,寻敌范围,0))</f>
        <v>8</v>
      </c>
      <c r="AE2" s="12"/>
      <c r="AF2" s="4">
        <f>INDEX(产销规划表!$B$20:$F$20,1,卡牌图鉴!S2)</f>
        <v>505</v>
      </c>
      <c r="AG2" s="4"/>
      <c r="AH2" s="8" t="s">
        <v>3003</v>
      </c>
      <c r="AI2" s="4"/>
      <c r="AJ2" s="4"/>
      <c r="AK2" s="4"/>
      <c r="AL2" s="4"/>
    </row>
    <row r="3" spans="1:38" ht="99.95" customHeight="1" x14ac:dyDescent="0.15">
      <c r="A3" s="8">
        <v>1</v>
      </c>
      <c r="B3" s="8" t="s">
        <v>42</v>
      </c>
      <c r="C3" s="8">
        <v>1395</v>
      </c>
      <c r="D3" s="4"/>
      <c r="E3" s="4" t="s">
        <v>53</v>
      </c>
      <c r="F3" s="15">
        <f>INDEX(数值规划表!$H$16:$J$122,MATCH(卡牌图鉴!E3,数值规划表!$F$16:$F$21,0),1)</f>
        <v>0.92</v>
      </c>
      <c r="G3" s="15">
        <f>INDEX(数值规划表!$H$16:$J$21,MATCH(卡牌图鉴!E3,数值规划表!$F$16:$F$21,0),2)</f>
        <v>0.92</v>
      </c>
      <c r="H3" s="15">
        <f>INDEX(数值规划表!$J$16:$J$21,MATCH(卡牌图鉴!E3,数值规划表!$F$16:$F$21,0))</f>
        <v>2</v>
      </c>
      <c r="I3" s="4" t="s">
        <v>90</v>
      </c>
      <c r="J3" s="15">
        <f>INDEX(数值规划表!$B$7:$J$7,MATCH(卡牌图鉴!I3,数值规划表!$B$4:$J$4,0))</f>
        <v>1.2</v>
      </c>
      <c r="K3" s="4">
        <v>2</v>
      </c>
      <c r="L3" s="12">
        <v>2</v>
      </c>
      <c r="M3" s="15">
        <f>INDEX(数值规划表!$E$45:$M$54,MATCH(卡牌图鉴!K3,数值规划表!$A$45:$A$54,0),MATCH(卡牌图鉴!I3,数值规划表!$E$44:$M$44,0))</f>
        <v>55.99</v>
      </c>
      <c r="N3" s="15">
        <f>INDEX(数值规划表!$N$45:$V$54,MATCH(卡牌图鉴!K3,数值规划表!$A$45:$A$54,0),MATCH(卡牌图鉴!I3,数值规划表!$E$44:$M$44,0))</f>
        <v>191.01</v>
      </c>
      <c r="O3" s="8">
        <v>2</v>
      </c>
      <c r="P3" s="15">
        <f>INDEX(数值规划表!$B$32:$F$33,2,卡牌图鉴!O3)</f>
        <v>0.7</v>
      </c>
      <c r="Q3" s="15">
        <f>INDEX(数值规划表!$B$32:$F$33,1,卡牌图鉴!O3)</f>
        <v>0.56999999999999995</v>
      </c>
      <c r="R3" s="4" t="s">
        <v>36</v>
      </c>
      <c r="S3" s="12">
        <v>1</v>
      </c>
      <c r="T3" s="15">
        <f>INDEX(名称表!$B$4:$B$7,MATCH(卡牌图鉴!R3,品质名称,0))</f>
        <v>1</v>
      </c>
      <c r="U3" s="15">
        <f>INDEX(数值规划表!$L$30:$M$33,MATCH(卡牌图鉴!R3,品质名称,0),2)</f>
        <v>1</v>
      </c>
      <c r="V3" s="15">
        <f>INDEX(数值规划表!$L$30:$M$33,MATCH(卡牌图鉴!R3,数值规划表!$K$30:$K$33,0),1)</f>
        <v>1</v>
      </c>
      <c r="W3" s="12">
        <v>1</v>
      </c>
      <c r="X3" s="12">
        <v>1</v>
      </c>
      <c r="Y3" s="12">
        <v>1</v>
      </c>
      <c r="Z3" s="12">
        <v>1</v>
      </c>
      <c r="AA3" s="15">
        <f t="shared" ref="AA3:AA64" si="1">ROUND(F3*M3*P3*U3*W3*Y3,2)</f>
        <v>36.06</v>
      </c>
      <c r="AB3" s="15">
        <f t="shared" ref="AB3:AB64" si="2">ROUND(N3*G3*Q3*V3*X3*Z3,2)</f>
        <v>100.17</v>
      </c>
      <c r="AC3" s="12" t="s">
        <v>1930</v>
      </c>
      <c r="AD3" s="15">
        <f t="shared" si="0"/>
        <v>8</v>
      </c>
      <c r="AE3" s="12"/>
      <c r="AF3" s="12">
        <f>INDEX(产销规划表!$B$20:$F$20,1,卡牌图鉴!S3)</f>
        <v>505</v>
      </c>
      <c r="AG3" s="4"/>
      <c r="AH3" s="4"/>
      <c r="AI3" s="4"/>
      <c r="AJ3" s="4"/>
      <c r="AK3" s="4"/>
      <c r="AL3" s="4"/>
    </row>
    <row r="4" spans="1:38" s="20" customFormat="1" ht="99.95" customHeight="1" x14ac:dyDescent="0.15">
      <c r="A4" s="8">
        <v>1</v>
      </c>
      <c r="B4" s="8" t="s">
        <v>1346</v>
      </c>
      <c r="C4" s="8">
        <v>1506</v>
      </c>
      <c r="D4" s="12"/>
      <c r="E4" s="12" t="s">
        <v>53</v>
      </c>
      <c r="F4" s="15">
        <f>INDEX(数值规划表!$H$16:$J$122,MATCH(卡牌图鉴!E4,数值规划表!$F$16:$F$21,0),1)</f>
        <v>0.92</v>
      </c>
      <c r="G4" s="15">
        <f>INDEX(数值规划表!$H$16:$J$21,MATCH(卡牌图鉴!E4,数值规划表!$F$16:$F$21,0),2)</f>
        <v>0.92</v>
      </c>
      <c r="H4" s="15">
        <f>INDEX(数值规划表!$J$16:$J$21,MATCH(卡牌图鉴!E4,数值规划表!$F$16:$F$21,0))</f>
        <v>2</v>
      </c>
      <c r="I4" s="12" t="s">
        <v>90</v>
      </c>
      <c r="J4" s="15">
        <f>INDEX(数值规划表!$B$7:$J$7,MATCH(卡牌图鉴!I4,数值规划表!$B$4:$J$4,0))</f>
        <v>1.2</v>
      </c>
      <c r="K4" s="12">
        <v>3</v>
      </c>
      <c r="L4" s="12">
        <v>3</v>
      </c>
      <c r="M4" s="15">
        <f>INDEX(数值规划表!$E$45:$M$54,MATCH(卡牌图鉴!K4,数值规划表!$A$45:$A$54,0),MATCH(卡牌图鉴!I4,数值规划表!$E$44:$M$44,0))</f>
        <v>67.48</v>
      </c>
      <c r="N4" s="15">
        <f>INDEX(数值规划表!$N$45:$V$54,MATCH(卡牌图鉴!K4,数值规划表!$A$45:$A$54,0),MATCH(卡牌图鉴!I4,数值规划表!$E$44:$M$44,0))</f>
        <v>270.86</v>
      </c>
      <c r="O4" s="8">
        <v>3</v>
      </c>
      <c r="P4" s="15">
        <f>INDEX(数值规划表!$B$32:$F$33,2,卡牌图鉴!O4)</f>
        <v>0.6</v>
      </c>
      <c r="Q4" s="15">
        <f>INDEX(数值规划表!$B$32:$F$33,1,卡牌图鉴!O4)</f>
        <v>0.4</v>
      </c>
      <c r="R4" s="12" t="s">
        <v>13</v>
      </c>
      <c r="S4" s="12">
        <v>3</v>
      </c>
      <c r="T4" s="15">
        <f>INDEX(名称表!$B$4:$B$7,MATCH(卡牌图鉴!R4,品质名称,0))</f>
        <v>3</v>
      </c>
      <c r="U4" s="15">
        <f>INDEX(数值规划表!$L$30:$M$33,MATCH(卡牌图鉴!R4,品质名称,0),2)</f>
        <v>1.25</v>
      </c>
      <c r="V4" s="15">
        <f>INDEX(数值规划表!$L$30:$M$33,MATCH(卡牌图鉴!R4,数值规划表!$K$30:$K$33,0),1)</f>
        <v>1.25</v>
      </c>
      <c r="W4" s="12">
        <v>1</v>
      </c>
      <c r="X4" s="12">
        <v>1</v>
      </c>
      <c r="Y4" s="12">
        <v>1</v>
      </c>
      <c r="Z4" s="12">
        <v>1</v>
      </c>
      <c r="AA4" s="15">
        <f t="shared" si="1"/>
        <v>46.56</v>
      </c>
      <c r="AB4" s="15">
        <f t="shared" si="2"/>
        <v>124.6</v>
      </c>
      <c r="AC4" s="12" t="s">
        <v>1930</v>
      </c>
      <c r="AD4" s="15">
        <f t="shared" si="0"/>
        <v>8</v>
      </c>
      <c r="AE4" s="12"/>
      <c r="AF4" s="12">
        <f>INDEX(产销规划表!$B$20:$F$20,1,卡牌图鉴!S4)</f>
        <v>185</v>
      </c>
      <c r="AG4" s="12"/>
      <c r="AH4" s="12"/>
      <c r="AI4" s="12"/>
      <c r="AJ4" s="12"/>
      <c r="AK4" s="12"/>
      <c r="AL4" s="12"/>
    </row>
    <row r="5" spans="1:38" ht="99.95" customHeight="1" x14ac:dyDescent="0.15">
      <c r="A5" s="8">
        <v>1</v>
      </c>
      <c r="B5" s="8" t="s">
        <v>1313</v>
      </c>
      <c r="C5" s="8">
        <v>1484</v>
      </c>
      <c r="D5" s="4"/>
      <c r="E5" s="4" t="s">
        <v>51</v>
      </c>
      <c r="F5" s="15">
        <f>INDEX(数值规划表!$H$16:$J$122,MATCH(卡牌图鉴!E5,数值规划表!$F$16:$F$21,0),1)</f>
        <v>1</v>
      </c>
      <c r="G5" s="15">
        <f>INDEX(数值规划表!$H$16:$J$21,MATCH(卡牌图鉴!E5,数值规划表!$F$16:$F$21,0),2)</f>
        <v>1</v>
      </c>
      <c r="H5" s="15">
        <f>INDEX(数值规划表!$J$16:$J$21,MATCH(卡牌图鉴!E5,数值规划表!$F$16:$F$21,0))</f>
        <v>1.4</v>
      </c>
      <c r="I5" s="8" t="s">
        <v>85</v>
      </c>
      <c r="J5" s="15">
        <f>INDEX(数值规划表!$B$7:$J$7,MATCH(卡牌图鉴!I5,数值规划表!$B$4:$J$4,0))</f>
        <v>1.2</v>
      </c>
      <c r="K5" s="4">
        <v>2</v>
      </c>
      <c r="L5" s="12">
        <v>3</v>
      </c>
      <c r="M5" s="15">
        <f>INDEX(数值规划表!$E$45:$M$54,MATCH(卡牌图鉴!K5,数值规划表!$A$45:$A$54,0),MATCH(卡牌图鉴!I5,数值规划表!$E$44:$M$44,0))</f>
        <v>42.95</v>
      </c>
      <c r="N5" s="15">
        <f>INDEX(数值规划表!$N$45:$V$54,MATCH(卡牌图鉴!K5,数值规划表!$A$45:$A$54,0),MATCH(卡牌图鉴!I5,数值规划表!$E$44:$M$44,0))</f>
        <v>255.55</v>
      </c>
      <c r="O5" s="8">
        <v>1</v>
      </c>
      <c r="P5" s="15">
        <f>INDEX(数值规划表!$B$32:$F$33,2,卡牌图鉴!O5)</f>
        <v>1</v>
      </c>
      <c r="Q5" s="15">
        <f>INDEX(数值规划表!$B$32:$F$33,1,卡牌图鉴!O5)</f>
        <v>1</v>
      </c>
      <c r="R5" s="4" t="s">
        <v>36</v>
      </c>
      <c r="S5" s="12">
        <v>1</v>
      </c>
      <c r="T5" s="15">
        <f>INDEX(名称表!$B$4:$B$7,MATCH(卡牌图鉴!R5,品质名称,0))</f>
        <v>1</v>
      </c>
      <c r="U5" s="15">
        <f>INDEX(数值规划表!$L$30:$M$33,MATCH(卡牌图鉴!R5,品质名称,0),2)</f>
        <v>1</v>
      </c>
      <c r="V5" s="15">
        <f>INDEX(数值规划表!$L$30:$M$33,MATCH(卡牌图鉴!R5,数值规划表!$K$30:$K$33,0),1)</f>
        <v>1</v>
      </c>
      <c r="W5" s="12">
        <v>0.7</v>
      </c>
      <c r="X5" s="12">
        <v>1.2</v>
      </c>
      <c r="Y5" s="12">
        <v>1</v>
      </c>
      <c r="Z5" s="12">
        <v>1</v>
      </c>
      <c r="AA5" s="15">
        <f t="shared" si="1"/>
        <v>30.07</v>
      </c>
      <c r="AB5" s="15">
        <f t="shared" si="2"/>
        <v>306.66000000000003</v>
      </c>
      <c r="AC5" s="12" t="s">
        <v>1930</v>
      </c>
      <c r="AD5" s="15">
        <f t="shared" si="0"/>
        <v>8</v>
      </c>
      <c r="AE5" s="12"/>
      <c r="AF5" s="12">
        <f>INDEX(产销规划表!$B$20:$F$20,1,卡牌图鉴!S5)</f>
        <v>505</v>
      </c>
      <c r="AG5" s="4"/>
      <c r="AH5" s="8" t="s">
        <v>2990</v>
      </c>
      <c r="AI5" s="4"/>
      <c r="AJ5" s="4"/>
      <c r="AK5" s="4"/>
      <c r="AL5" s="4"/>
    </row>
    <row r="6" spans="1:38" ht="99.95" customHeight="1" x14ac:dyDescent="0.15">
      <c r="A6" s="8">
        <v>1</v>
      </c>
      <c r="B6" s="8" t="s">
        <v>56</v>
      </c>
      <c r="C6" s="8">
        <v>1239</v>
      </c>
      <c r="D6" s="4"/>
      <c r="E6" s="4" t="s">
        <v>51</v>
      </c>
      <c r="F6" s="15">
        <f>INDEX(数值规划表!$H$16:$J$122,MATCH(卡牌图鉴!E6,数值规划表!$F$16:$F$21,0),1)</f>
        <v>1</v>
      </c>
      <c r="G6" s="15">
        <f>INDEX(数值规划表!$H$16:$J$21,MATCH(卡牌图鉴!E6,数值规划表!$F$16:$F$21,0),2)</f>
        <v>1</v>
      </c>
      <c r="H6" s="15">
        <f>INDEX(数值规划表!$J$16:$J$21,MATCH(卡牌图鉴!E6,数值规划表!$F$16:$F$21,0))</f>
        <v>1.4</v>
      </c>
      <c r="I6" s="4" t="s">
        <v>84</v>
      </c>
      <c r="J6" s="15">
        <f>INDEX(数值规划表!$B$7:$J$7,MATCH(卡牌图鉴!I6,数值规划表!$B$4:$J$4,0))</f>
        <v>1.2</v>
      </c>
      <c r="K6" s="4">
        <v>3</v>
      </c>
      <c r="L6" s="12">
        <v>3</v>
      </c>
      <c r="M6" s="15">
        <f>INDEX(数值规划表!$E$45:$M$54,MATCH(卡牌图鉴!K6,数值规划表!$A$45:$A$54,0),MATCH(卡牌图鉴!I6,数值规划表!$E$44:$M$44,0))</f>
        <v>30.51</v>
      </c>
      <c r="N6" s="15">
        <f>INDEX(数值规划表!$N$45:$V$54,MATCH(卡牌图鉴!K6,数值规划表!$A$45:$A$54,0),MATCH(卡牌图鉴!I6,数值规划表!$E$44:$M$44,0))</f>
        <v>522.29999999999995</v>
      </c>
      <c r="O6" s="8">
        <v>1</v>
      </c>
      <c r="P6" s="15">
        <f>INDEX(数值规划表!$B$32:$F$33,2,卡牌图鉴!O6)</f>
        <v>1</v>
      </c>
      <c r="Q6" s="15">
        <f>INDEX(数值规划表!$B$32:$F$33,1,卡牌图鉴!O6)</f>
        <v>1</v>
      </c>
      <c r="R6" s="4" t="s">
        <v>36</v>
      </c>
      <c r="S6" s="12">
        <v>1</v>
      </c>
      <c r="T6" s="15">
        <f>INDEX(名称表!$B$4:$B$7,MATCH(卡牌图鉴!R6,品质名称,0))</f>
        <v>1</v>
      </c>
      <c r="U6" s="15">
        <f>INDEX(数值规划表!$L$30:$M$33,MATCH(卡牌图鉴!R6,品质名称,0),2)</f>
        <v>1</v>
      </c>
      <c r="V6" s="15">
        <f>INDEX(数值规划表!$L$30:$M$33,MATCH(卡牌图鉴!R6,数值规划表!$K$30:$K$33,0),1)</f>
        <v>1</v>
      </c>
      <c r="W6" s="12">
        <v>1</v>
      </c>
      <c r="X6" s="12">
        <v>0.9</v>
      </c>
      <c r="Y6" s="12">
        <v>1</v>
      </c>
      <c r="Z6" s="12">
        <v>1</v>
      </c>
      <c r="AA6" s="15">
        <f t="shared" si="1"/>
        <v>30.51</v>
      </c>
      <c r="AB6" s="15">
        <f t="shared" si="2"/>
        <v>470.07</v>
      </c>
      <c r="AC6" s="12" t="s">
        <v>1930</v>
      </c>
      <c r="AD6" s="15">
        <f t="shared" si="0"/>
        <v>8</v>
      </c>
      <c r="AE6" s="12"/>
      <c r="AF6" s="12">
        <f>INDEX(产销规划表!$B$20:$F$20,1,卡牌图鉴!S6)</f>
        <v>505</v>
      </c>
      <c r="AG6" s="4"/>
      <c r="AH6" s="8" t="s">
        <v>3067</v>
      </c>
      <c r="AI6" s="4"/>
      <c r="AJ6" s="4"/>
      <c r="AK6" s="4"/>
      <c r="AL6" s="4"/>
    </row>
    <row r="7" spans="1:38" ht="99.95" customHeight="1" x14ac:dyDescent="0.15">
      <c r="A7" s="8">
        <v>1</v>
      </c>
      <c r="B7" s="8" t="s">
        <v>45</v>
      </c>
      <c r="C7" s="8">
        <v>1045</v>
      </c>
      <c r="D7" s="4"/>
      <c r="E7" s="4" t="s">
        <v>51</v>
      </c>
      <c r="F7" s="15">
        <f>INDEX(数值规划表!$H$16:$J$122,MATCH(卡牌图鉴!E7,数值规划表!$F$16:$F$21,0),1)</f>
        <v>1</v>
      </c>
      <c r="G7" s="15">
        <f>INDEX(数值规划表!$H$16:$J$21,MATCH(卡牌图鉴!E7,数值规划表!$F$16:$F$21,0),2)</f>
        <v>1</v>
      </c>
      <c r="H7" s="15">
        <f>INDEX(数值规划表!$J$16:$J$21,MATCH(卡牌图鉴!E7,数值规划表!$F$16:$F$21,0))</f>
        <v>1.4</v>
      </c>
      <c r="I7" s="4" t="s">
        <v>1323</v>
      </c>
      <c r="J7" s="12">
        <v>6.5</v>
      </c>
      <c r="K7" s="4">
        <v>3</v>
      </c>
      <c r="L7" s="12">
        <v>3</v>
      </c>
      <c r="M7" s="15">
        <f>INDEX(数值规划表!$E$45:$M$54,MATCH(卡牌图鉴!K7,数值规划表!$A$45:$A$54,0),MATCH(卡牌图鉴!I7,数值规划表!$E$44:$M$44,0))</f>
        <v>46.22</v>
      </c>
      <c r="N7" s="15">
        <f>INDEX(数值规划表!$N$45:$V$54,MATCH(卡牌图鉴!K7,数值规划表!$A$45:$A$54,0),MATCH(卡牌图鉴!I7,数值规划表!$E$44:$M$44,0))</f>
        <v>138.66</v>
      </c>
      <c r="O7" s="8">
        <v>1</v>
      </c>
      <c r="P7" s="15">
        <f>INDEX(数值规划表!$B$32:$F$33,2,卡牌图鉴!O7)</f>
        <v>1</v>
      </c>
      <c r="Q7" s="15">
        <f>INDEX(数值规划表!$B$32:$F$33,1,卡牌图鉴!O7)</f>
        <v>1</v>
      </c>
      <c r="R7" s="4" t="s">
        <v>13</v>
      </c>
      <c r="S7" s="12">
        <v>3</v>
      </c>
      <c r="T7" s="15">
        <f>INDEX(名称表!$B$4:$B$7,MATCH(卡牌图鉴!R7,品质名称,0))</f>
        <v>3</v>
      </c>
      <c r="U7" s="15">
        <f>INDEX(数值规划表!$L$30:$M$33,MATCH(卡牌图鉴!R7,品质名称,0),2)</f>
        <v>1.25</v>
      </c>
      <c r="V7" s="15">
        <f>INDEX(数值规划表!$L$30:$M$33,MATCH(卡牌图鉴!R7,数值规划表!$K$30:$K$33,0),1)</f>
        <v>1.25</v>
      </c>
      <c r="W7" s="12">
        <v>1</v>
      </c>
      <c r="X7" s="12">
        <v>1</v>
      </c>
      <c r="Y7" s="12">
        <v>1</v>
      </c>
      <c r="Z7" s="12">
        <v>1</v>
      </c>
      <c r="AA7" s="15">
        <f t="shared" si="1"/>
        <v>57.78</v>
      </c>
      <c r="AB7" s="15">
        <f t="shared" si="2"/>
        <v>173.33</v>
      </c>
      <c r="AC7" s="12" t="s">
        <v>1930</v>
      </c>
      <c r="AD7" s="15">
        <f t="shared" si="0"/>
        <v>8</v>
      </c>
      <c r="AE7" s="12"/>
      <c r="AF7" s="12">
        <f>INDEX(产销规划表!$B$20:$F$20,1,卡牌图鉴!S7)</f>
        <v>185</v>
      </c>
      <c r="AG7" s="4"/>
      <c r="AH7" s="4"/>
      <c r="AI7" s="4"/>
      <c r="AJ7" s="4"/>
      <c r="AK7" s="4"/>
      <c r="AL7" s="4"/>
    </row>
    <row r="8" spans="1:38" ht="99.95" customHeight="1" x14ac:dyDescent="0.15">
      <c r="A8" s="8">
        <v>1</v>
      </c>
      <c r="B8" s="8" t="s">
        <v>19</v>
      </c>
      <c r="C8" s="8">
        <v>1261</v>
      </c>
      <c r="D8" s="4"/>
      <c r="E8" s="4" t="s">
        <v>51</v>
      </c>
      <c r="F8" s="15">
        <f>INDEX(数值规划表!$H$16:$J$122,MATCH(卡牌图鉴!E8,数值规划表!$F$16:$F$21,0),1)</f>
        <v>1</v>
      </c>
      <c r="G8" s="15">
        <f>INDEX(数值规划表!$H$16:$J$21,MATCH(卡牌图鉴!E8,数值规划表!$F$16:$F$21,0),2)</f>
        <v>1</v>
      </c>
      <c r="H8" s="15">
        <f>INDEX(数值规划表!$J$16:$J$21,MATCH(卡牌图鉴!E8,数值规划表!$F$16:$F$21,0))</f>
        <v>1.4</v>
      </c>
      <c r="I8" s="8" t="s">
        <v>85</v>
      </c>
      <c r="J8" s="15">
        <f>INDEX(数值规划表!$B$7:$J$7,MATCH(卡牌图鉴!I8,数值规划表!$B$4:$J$4,0))</f>
        <v>1.2</v>
      </c>
      <c r="K8" s="4">
        <v>5</v>
      </c>
      <c r="L8" s="12">
        <v>5</v>
      </c>
      <c r="M8" s="15">
        <f>INDEX(数值规划表!$E$45:$M$54,MATCH(卡牌图鉴!K8,数值规划表!$A$45:$A$54,0),MATCH(卡牌图鉴!I8,数值规划表!$E$44:$M$44,0))</f>
        <v>63.64</v>
      </c>
      <c r="N8" s="15">
        <f>INDEX(数值规划表!$N$45:$V$54,MATCH(卡牌图鉴!K8,数值规划表!$A$45:$A$54,0),MATCH(卡牌图鉴!I8,数值规划表!$E$44:$M$44,0))</f>
        <v>579.12</v>
      </c>
      <c r="O8" s="8">
        <v>1</v>
      </c>
      <c r="P8" s="15">
        <f>INDEX(数值规划表!$B$32:$F$33,2,卡牌图鉴!O8)</f>
        <v>1</v>
      </c>
      <c r="Q8" s="15">
        <f>INDEX(数值规划表!$B$32:$F$33,1,卡牌图鉴!O8)</f>
        <v>1</v>
      </c>
      <c r="R8" s="4" t="s">
        <v>35</v>
      </c>
      <c r="S8" s="12">
        <v>4</v>
      </c>
      <c r="T8" s="15">
        <f>INDEX(名称表!$B$4:$B$7,MATCH(卡牌图鉴!R8,品质名称,0))</f>
        <v>4</v>
      </c>
      <c r="U8" s="15">
        <f>INDEX(数值规划表!$L$30:$M$33,MATCH(卡牌图鉴!R8,品质名称,0),2)</f>
        <v>1.5</v>
      </c>
      <c r="V8" s="15">
        <f>INDEX(数值规划表!$L$30:$M$33,MATCH(卡牌图鉴!R8,数值规划表!$K$30:$K$33,0),1)</f>
        <v>1.5</v>
      </c>
      <c r="W8" s="12">
        <v>0.8</v>
      </c>
      <c r="X8" s="12">
        <v>0.5</v>
      </c>
      <c r="Y8" s="12">
        <v>1</v>
      </c>
      <c r="Z8" s="12">
        <v>1</v>
      </c>
      <c r="AA8" s="15">
        <f t="shared" si="1"/>
        <v>76.37</v>
      </c>
      <c r="AB8" s="15">
        <f t="shared" si="2"/>
        <v>434.34</v>
      </c>
      <c r="AC8" s="12" t="s">
        <v>1930</v>
      </c>
      <c r="AD8" s="15">
        <f t="shared" si="0"/>
        <v>8</v>
      </c>
      <c r="AE8" s="12"/>
      <c r="AF8" s="12">
        <f>INDEX(产销规划表!$B$20:$F$20,1,卡牌图鉴!S8)</f>
        <v>55</v>
      </c>
      <c r="AG8" s="4"/>
      <c r="AH8" s="4"/>
      <c r="AI8" s="4"/>
      <c r="AJ8" s="4"/>
      <c r="AK8" s="4"/>
      <c r="AL8" s="4"/>
    </row>
    <row r="9" spans="1:38" ht="99.95" customHeight="1" x14ac:dyDescent="0.15">
      <c r="A9" s="8">
        <v>2</v>
      </c>
      <c r="B9" s="8" t="s">
        <v>24</v>
      </c>
      <c r="C9" s="8">
        <v>1127</v>
      </c>
      <c r="D9" s="4"/>
      <c r="E9" s="4" t="s">
        <v>49</v>
      </c>
      <c r="F9" s="15">
        <f>INDEX(数值规划表!$H$16:$J$122,MATCH(卡牌图鉴!E9,数值规划表!$F$16:$F$21,0),1)</f>
        <v>1.22</v>
      </c>
      <c r="G9" s="15">
        <f>INDEX(数值规划表!$H$16:$J$21,MATCH(卡牌图鉴!E9,数值规划表!$F$16:$F$21,0),2)</f>
        <v>1.22</v>
      </c>
      <c r="H9" s="15">
        <f>INDEX(数值规划表!$J$16:$J$21,MATCH(卡牌图鉴!E9,数值规划表!$F$16:$F$21,0))</f>
        <v>0.8</v>
      </c>
      <c r="I9" s="8" t="s">
        <v>85</v>
      </c>
      <c r="J9" s="15">
        <f>INDEX(数值规划表!$B$7:$J$7,MATCH(卡牌图鉴!I9,数值规划表!$B$4:$J$4,0))</f>
        <v>1.2</v>
      </c>
      <c r="K9" s="4">
        <v>4</v>
      </c>
      <c r="L9" s="12">
        <v>4</v>
      </c>
      <c r="M9" s="15">
        <f>INDEX(数值规划表!$E$45:$M$54,MATCH(卡牌图鉴!K9,数值规划表!$A$45:$A$54,0),MATCH(卡牌图鉴!I9,数值规划表!$E$44:$M$44,0))</f>
        <v>58.38</v>
      </c>
      <c r="N9" s="15">
        <f>INDEX(数值规划表!$N$45:$V$54,MATCH(卡牌图鉴!K9,数值规划表!$A$45:$A$54,0),MATCH(卡牌图鉴!I9,数值规划表!$E$44:$M$44,0))</f>
        <v>469.99</v>
      </c>
      <c r="O9" s="8">
        <v>1</v>
      </c>
      <c r="P9" s="15">
        <f>INDEX(数值规划表!$B$32:$F$33,2,卡牌图鉴!O9)</f>
        <v>1</v>
      </c>
      <c r="Q9" s="15">
        <f>INDEX(数值规划表!$B$32:$F$33,1,卡牌图鉴!O9)</f>
        <v>1</v>
      </c>
      <c r="R9" s="4" t="s">
        <v>36</v>
      </c>
      <c r="S9" s="12">
        <v>1</v>
      </c>
      <c r="T9" s="15">
        <f>INDEX(名称表!$B$4:$B$7,MATCH(卡牌图鉴!R9,品质名称,0))</f>
        <v>1</v>
      </c>
      <c r="U9" s="15">
        <f>INDEX(数值规划表!$L$30:$M$33,MATCH(卡牌图鉴!R9,品质名称,0),2)</f>
        <v>1</v>
      </c>
      <c r="V9" s="15">
        <f>INDEX(数值规划表!$L$30:$M$33,MATCH(卡牌图鉴!R9,数值规划表!$K$30:$K$33,0),1)</f>
        <v>1</v>
      </c>
      <c r="W9" s="12">
        <v>0.8</v>
      </c>
      <c r="X9" s="8">
        <v>1.25</v>
      </c>
      <c r="Y9" s="12">
        <v>1</v>
      </c>
      <c r="Z9" s="12">
        <v>1</v>
      </c>
      <c r="AA9" s="15">
        <f t="shared" si="1"/>
        <v>56.98</v>
      </c>
      <c r="AB9" s="15">
        <f t="shared" si="2"/>
        <v>716.73</v>
      </c>
      <c r="AC9" s="12" t="s">
        <v>1930</v>
      </c>
      <c r="AD9" s="15">
        <f t="shared" si="0"/>
        <v>8</v>
      </c>
      <c r="AE9" s="12"/>
      <c r="AF9" s="12">
        <f>INDEX(产销规划表!$B$20:$F$20,1,卡牌图鉴!S9)</f>
        <v>505</v>
      </c>
      <c r="AG9" s="4"/>
      <c r="AH9" s="8"/>
      <c r="AI9" s="4"/>
      <c r="AJ9" s="4"/>
      <c r="AK9" s="4"/>
      <c r="AL9" s="4"/>
    </row>
    <row r="10" spans="1:38" ht="99.95" customHeight="1" x14ac:dyDescent="0.15">
      <c r="A10" s="8">
        <v>2</v>
      </c>
      <c r="B10" s="8" t="s">
        <v>30</v>
      </c>
      <c r="C10" s="8">
        <v>1162</v>
      </c>
      <c r="D10" s="4"/>
      <c r="E10" s="4" t="s">
        <v>51</v>
      </c>
      <c r="F10" s="15">
        <f>INDEX(数值规划表!$H$16:$J$122,MATCH(卡牌图鉴!E10,数值规划表!$F$16:$F$21,0),1)</f>
        <v>1</v>
      </c>
      <c r="G10" s="15">
        <f>INDEX(数值规划表!$H$16:$J$21,MATCH(卡牌图鉴!E10,数值规划表!$F$16:$F$21,0),2)</f>
        <v>1</v>
      </c>
      <c r="H10" s="15">
        <f>INDEX(数值规划表!$J$16:$J$21,MATCH(卡牌图鉴!E10,数值规划表!$F$16:$F$21,0))</f>
        <v>1.4</v>
      </c>
      <c r="I10" s="8" t="s">
        <v>1323</v>
      </c>
      <c r="J10" s="15">
        <f>INDEX(数值规划表!$B$7:$J$7,MATCH(卡牌图鉴!I10,数值规划表!$B$4:$J$4,0))</f>
        <v>6</v>
      </c>
      <c r="K10" s="4">
        <v>4</v>
      </c>
      <c r="L10" s="12">
        <v>4</v>
      </c>
      <c r="M10" s="15">
        <f>INDEX(数值规划表!$E$45:$M$54,MATCH(卡牌图鉴!K10,数值规划表!$A$45:$A$54,0),MATCH(卡牌图鉴!I10,数值规划表!$E$44:$M$44,0))</f>
        <v>52.13</v>
      </c>
      <c r="N10" s="15">
        <f>INDEX(数值规划表!$N$45:$V$54,MATCH(卡牌图鉴!K10,数值规划表!$A$45:$A$54,0),MATCH(卡牌图鉴!I10,数值规划表!$E$44:$M$44,0))</f>
        <v>179.84</v>
      </c>
      <c r="O10" s="8">
        <v>1</v>
      </c>
      <c r="P10" s="15">
        <f>INDEX(数值规划表!$B$32:$F$33,2,卡牌图鉴!O10)</f>
        <v>1</v>
      </c>
      <c r="Q10" s="15">
        <f>INDEX(数值规划表!$B$32:$F$33,1,卡牌图鉴!O10)</f>
        <v>1</v>
      </c>
      <c r="R10" s="4" t="s">
        <v>13</v>
      </c>
      <c r="S10" s="12">
        <v>3</v>
      </c>
      <c r="T10" s="15">
        <f>INDEX(名称表!$B$4:$B$7,MATCH(卡牌图鉴!R10,品质名称,0))</f>
        <v>3</v>
      </c>
      <c r="U10" s="15">
        <f>INDEX(数值规划表!$L$30:$M$33,MATCH(卡牌图鉴!R10,品质名称,0),2)</f>
        <v>1.25</v>
      </c>
      <c r="V10" s="15">
        <f>INDEX(数值规划表!$L$30:$M$33,MATCH(卡牌图鉴!R10,数值规划表!$K$30:$K$33,0),1)</f>
        <v>1.25</v>
      </c>
      <c r="W10" s="12">
        <v>1</v>
      </c>
      <c r="X10" s="12">
        <v>1.1000000000000001</v>
      </c>
      <c r="Y10" s="12">
        <v>1</v>
      </c>
      <c r="Z10" s="12">
        <v>1</v>
      </c>
      <c r="AA10" s="15">
        <f t="shared" si="1"/>
        <v>65.16</v>
      </c>
      <c r="AB10" s="15">
        <f t="shared" si="2"/>
        <v>247.28</v>
      </c>
      <c r="AC10" s="12" t="s">
        <v>1930</v>
      </c>
      <c r="AD10" s="15">
        <f t="shared" si="0"/>
        <v>8</v>
      </c>
      <c r="AE10" s="12"/>
      <c r="AF10" s="12">
        <f>INDEX(产销规划表!$B$20:$F$20,1,卡牌图鉴!S10)</f>
        <v>185</v>
      </c>
      <c r="AG10" s="4"/>
      <c r="AH10" s="4"/>
      <c r="AI10" s="4"/>
      <c r="AJ10" s="4"/>
      <c r="AK10" s="4"/>
      <c r="AL10" s="4"/>
    </row>
    <row r="11" spans="1:38" ht="99.95" customHeight="1" x14ac:dyDescent="0.15">
      <c r="A11" s="8">
        <v>2</v>
      </c>
      <c r="B11" s="8" t="s">
        <v>23</v>
      </c>
      <c r="C11" s="8">
        <v>1001</v>
      </c>
      <c r="D11" s="4"/>
      <c r="E11" s="4" t="s">
        <v>53</v>
      </c>
      <c r="F11" s="15">
        <f>INDEX(数值规划表!$H$16:$J$122,MATCH(卡牌图鉴!E11,数值规划表!$F$16:$F$21,0),1)</f>
        <v>0.92</v>
      </c>
      <c r="G11" s="15">
        <f>INDEX(数值规划表!$H$16:$J$21,MATCH(卡牌图鉴!E11,数值规划表!$F$16:$F$21,0),2)</f>
        <v>0.92</v>
      </c>
      <c r="H11" s="15">
        <f>INDEX(数值规划表!$J$16:$J$21,MATCH(卡牌图鉴!E11,数值规划表!$F$16:$F$21,0))</f>
        <v>2</v>
      </c>
      <c r="I11" s="8" t="s">
        <v>85</v>
      </c>
      <c r="J11" s="15">
        <f>INDEX(数值规划表!$B$7:$J$7,MATCH(卡牌图鉴!I11,数值规划表!$B$4:$J$4,0))</f>
        <v>1.2</v>
      </c>
      <c r="K11" s="4">
        <v>5</v>
      </c>
      <c r="L11" s="12">
        <v>5</v>
      </c>
      <c r="M11" s="15">
        <f>INDEX(数值规划表!$E$45:$M$54,MATCH(卡牌图鉴!K11,数值规划表!$A$45:$A$54,0),MATCH(卡牌图鉴!I11,数值规划表!$E$44:$M$44,0))</f>
        <v>63.64</v>
      </c>
      <c r="N11" s="15">
        <f>INDEX(数值规划表!$N$45:$V$54,MATCH(卡牌图鉴!K11,数值规划表!$A$45:$A$54,0),MATCH(卡牌图鉴!I11,数值规划表!$E$44:$M$44,0))</f>
        <v>579.12</v>
      </c>
      <c r="O11" s="8">
        <v>1</v>
      </c>
      <c r="P11" s="15">
        <f>INDEX(数值规划表!$B$32:$F$33,2,卡牌图鉴!O11)</f>
        <v>1</v>
      </c>
      <c r="Q11" s="15">
        <f>INDEX(数值规划表!$B$32:$F$33,1,卡牌图鉴!O11)</f>
        <v>1</v>
      </c>
      <c r="R11" s="4" t="s">
        <v>35</v>
      </c>
      <c r="S11" s="12">
        <v>4</v>
      </c>
      <c r="T11" s="15">
        <f>INDEX(名称表!$B$4:$B$7,MATCH(卡牌图鉴!R11,品质名称,0))</f>
        <v>4</v>
      </c>
      <c r="U11" s="15">
        <f>INDEX(数值规划表!$L$30:$M$33,MATCH(卡牌图鉴!R11,品质名称,0),2)</f>
        <v>1.5</v>
      </c>
      <c r="V11" s="15">
        <f>INDEX(数值规划表!$L$30:$M$33,MATCH(卡牌图鉴!R11,数值规划表!$K$30:$K$33,0),1)</f>
        <v>1.5</v>
      </c>
      <c r="W11" s="12">
        <v>0.88</v>
      </c>
      <c r="X11" s="12">
        <v>0.8</v>
      </c>
      <c r="Y11" s="12">
        <v>1</v>
      </c>
      <c r="Z11" s="12">
        <v>1</v>
      </c>
      <c r="AA11" s="15">
        <f t="shared" si="1"/>
        <v>77.28</v>
      </c>
      <c r="AB11" s="15">
        <f t="shared" si="2"/>
        <v>639.35</v>
      </c>
      <c r="AC11" s="12" t="s">
        <v>1930</v>
      </c>
      <c r="AD11" s="15">
        <f t="shared" si="0"/>
        <v>8</v>
      </c>
      <c r="AE11" s="12"/>
      <c r="AF11" s="12">
        <f>INDEX(产销规划表!$B$20:$F$20,1,卡牌图鉴!S11)</f>
        <v>55</v>
      </c>
      <c r="AG11" s="4"/>
      <c r="AH11" s="8" t="s">
        <v>3062</v>
      </c>
      <c r="AI11" s="4"/>
      <c r="AJ11" s="4"/>
      <c r="AK11" s="4"/>
      <c r="AL11" s="4"/>
    </row>
    <row r="12" spans="1:38" ht="99.95" customHeight="1" x14ac:dyDescent="0.15">
      <c r="A12" s="8">
        <v>2</v>
      </c>
      <c r="B12" s="8" t="s">
        <v>20</v>
      </c>
      <c r="C12" s="8">
        <v>1428</v>
      </c>
      <c r="D12" s="4"/>
      <c r="E12" s="4" t="s">
        <v>2658</v>
      </c>
      <c r="F12" s="15">
        <f>INDEX(数值规划表!$H$16:$J$122,MATCH(卡牌图鉴!E12,数值规划表!$F$16:$F$21,0),1)</f>
        <v>1.1200000000000001</v>
      </c>
      <c r="G12" s="15">
        <f>INDEX(数值规划表!$H$16:$J$21,MATCH(卡牌图鉴!E12,数值规划表!$F$16:$F$21,0),2)</f>
        <v>1.1200000000000001</v>
      </c>
      <c r="H12" s="15">
        <f>INDEX(数值规划表!$J$16:$J$21,MATCH(卡牌图鉴!E12,数值规划表!$F$16:$F$21,0))</f>
        <v>1.1000000000000001</v>
      </c>
      <c r="I12" s="8" t="s">
        <v>1341</v>
      </c>
      <c r="J12" s="15">
        <f>INDEX(数值规划表!$B$7:$J$7,MATCH(卡牌图鉴!I12,数值规划表!$B$4:$J$4,0))</f>
        <v>1.5</v>
      </c>
      <c r="K12" s="4">
        <v>4</v>
      </c>
      <c r="L12" s="12">
        <v>4</v>
      </c>
      <c r="M12" s="15">
        <f>INDEX(数值规划表!$E$45:$M$54,MATCH(卡牌图鉴!K12,数值规划表!$A$45:$A$54,0),MATCH(卡牌图鉴!I12,数值规划表!$E$44:$M$44,0))</f>
        <v>47.96</v>
      </c>
      <c r="N12" s="15">
        <f>INDEX(数值规划表!$N$45:$V$54,MATCH(卡牌图鉴!K12,数值规划表!$A$45:$A$54,0),MATCH(卡牌图鉴!I12,数值规划表!$E$44:$M$44,0))</f>
        <v>274.56</v>
      </c>
      <c r="O12" s="8">
        <v>1</v>
      </c>
      <c r="P12" s="15">
        <f>INDEX(数值规划表!$B$32:$F$33,2,卡牌图鉴!O12)</f>
        <v>1</v>
      </c>
      <c r="Q12" s="15">
        <f>INDEX(数值规划表!$B$32:$F$33,1,卡牌图鉴!O12)</f>
        <v>1</v>
      </c>
      <c r="R12" s="4" t="s">
        <v>35</v>
      </c>
      <c r="S12" s="12">
        <v>4</v>
      </c>
      <c r="T12" s="15">
        <f>INDEX(名称表!$B$4:$B$7,MATCH(卡牌图鉴!R12,品质名称,0))</f>
        <v>4</v>
      </c>
      <c r="U12" s="15">
        <f>INDEX(数值规划表!$L$30:$M$33,MATCH(卡牌图鉴!R12,品质名称,0),2)</f>
        <v>1.5</v>
      </c>
      <c r="V12" s="15">
        <f>INDEX(数值规划表!$L$30:$M$33,MATCH(卡牌图鉴!R12,数值规划表!$K$30:$K$33,0),1)</f>
        <v>1.5</v>
      </c>
      <c r="W12" s="12">
        <v>1</v>
      </c>
      <c r="X12" s="12">
        <v>1</v>
      </c>
      <c r="Y12" s="12">
        <v>1</v>
      </c>
      <c r="Z12" s="12">
        <v>1</v>
      </c>
      <c r="AA12" s="15">
        <f t="shared" si="1"/>
        <v>80.569999999999993</v>
      </c>
      <c r="AB12" s="15">
        <f t="shared" si="2"/>
        <v>461.26</v>
      </c>
      <c r="AC12" s="12" t="s">
        <v>1953</v>
      </c>
      <c r="AD12" s="12">
        <v>5</v>
      </c>
      <c r="AE12" s="12"/>
      <c r="AF12" s="12">
        <f>INDEX(产销规划表!$B$20:$F$20,1,卡牌图鉴!S12)</f>
        <v>55</v>
      </c>
      <c r="AG12" s="4"/>
      <c r="AH12" s="4"/>
      <c r="AI12" s="4"/>
      <c r="AJ12" s="4"/>
      <c r="AK12" s="4"/>
      <c r="AL12" s="4"/>
    </row>
    <row r="13" spans="1:38" ht="99.95" customHeight="1" x14ac:dyDescent="0.15">
      <c r="A13" s="8">
        <v>3</v>
      </c>
      <c r="B13" s="8" t="s">
        <v>15</v>
      </c>
      <c r="C13" s="8">
        <v>1173</v>
      </c>
      <c r="D13" s="4"/>
      <c r="E13" s="4" t="s">
        <v>51</v>
      </c>
      <c r="F13" s="15">
        <f>INDEX(数值规划表!$H$16:$J$122,MATCH(卡牌图鉴!E13,数值规划表!$F$16:$F$21,0),1)</f>
        <v>1</v>
      </c>
      <c r="G13" s="15">
        <f>INDEX(数值规划表!$H$16:$J$21,MATCH(卡牌图鉴!E13,数值规划表!$F$16:$F$21,0),2)</f>
        <v>1</v>
      </c>
      <c r="H13" s="15">
        <f>INDEX(数值规划表!$J$16:$J$21,MATCH(卡牌图鉴!E13,数值规划表!$F$16:$F$21,0))</f>
        <v>1.4</v>
      </c>
      <c r="I13" s="8" t="s">
        <v>18</v>
      </c>
      <c r="J13" s="15">
        <f>INDEX(数值规划表!$B$7:$J$7,MATCH(卡牌图鉴!I13,数值规划表!$B$4:$J$4,0))</f>
        <v>1.2</v>
      </c>
      <c r="K13" s="4">
        <v>5</v>
      </c>
      <c r="L13" s="12">
        <v>5</v>
      </c>
      <c r="M13" s="15">
        <f>INDEX(数值规划表!$E$45:$M$54,MATCH(卡牌图鉴!K13,数值规划表!$A$45:$A$54,0),MATCH(卡牌图鉴!I13,数值规划表!$E$44:$M$44,0))</f>
        <v>37.5</v>
      </c>
      <c r="N13" s="15">
        <f>INDEX(数值规划表!$N$45:$V$54,MATCH(卡牌图鉴!K13,数值规划表!$A$45:$A$54,0),MATCH(卡牌图鉴!I13,数值规划表!$E$44:$M$44,0))</f>
        <v>834.7</v>
      </c>
      <c r="O13" s="8">
        <v>1</v>
      </c>
      <c r="P13" s="15">
        <f>INDEX(数值规划表!$B$32:$F$33,2,卡牌图鉴!O13)</f>
        <v>1</v>
      </c>
      <c r="Q13" s="15">
        <f>INDEX(数值规划表!$B$32:$F$33,1,卡牌图鉴!O13)</f>
        <v>1</v>
      </c>
      <c r="R13" s="4" t="s">
        <v>36</v>
      </c>
      <c r="S13" s="12">
        <v>1</v>
      </c>
      <c r="T13" s="15">
        <f>INDEX(名称表!$B$4:$B$7,MATCH(卡牌图鉴!R13,品质名称,0))</f>
        <v>1</v>
      </c>
      <c r="U13" s="15">
        <f>INDEX(数值规划表!$L$30:$M$33,MATCH(卡牌图鉴!R13,品质名称,0),2)</f>
        <v>1</v>
      </c>
      <c r="V13" s="15">
        <f>INDEX(数值规划表!$L$30:$M$33,MATCH(卡牌图鉴!R13,数值规划表!$K$30:$K$33,0),1)</f>
        <v>1</v>
      </c>
      <c r="W13" s="12">
        <v>0.85</v>
      </c>
      <c r="X13" s="12">
        <v>0.85</v>
      </c>
      <c r="Y13" s="12">
        <v>1</v>
      </c>
      <c r="Z13" s="12">
        <v>1</v>
      </c>
      <c r="AA13" s="15">
        <f t="shared" si="1"/>
        <v>31.88</v>
      </c>
      <c r="AB13" s="15">
        <f t="shared" si="2"/>
        <v>709.5</v>
      </c>
      <c r="AC13" s="12" t="s">
        <v>1930</v>
      </c>
      <c r="AD13" s="15">
        <f t="shared" si="0"/>
        <v>8</v>
      </c>
      <c r="AE13" s="12"/>
      <c r="AF13" s="12">
        <f>INDEX(产销规划表!$B$20:$F$20,1,卡牌图鉴!S13)</f>
        <v>505</v>
      </c>
      <c r="AG13" s="4"/>
      <c r="AH13" s="8" t="s">
        <v>2339</v>
      </c>
      <c r="AI13" s="4"/>
      <c r="AJ13" s="4"/>
      <c r="AK13" s="4"/>
      <c r="AL13" s="4"/>
    </row>
    <row r="14" spans="1:38" ht="99.95" customHeight="1" x14ac:dyDescent="0.15">
      <c r="A14" s="8">
        <v>3</v>
      </c>
      <c r="B14" s="8" t="s">
        <v>1312</v>
      </c>
      <c r="C14" s="8">
        <v>1495</v>
      </c>
      <c r="D14" s="4"/>
      <c r="E14" s="4" t="s">
        <v>2658</v>
      </c>
      <c r="F14" s="15">
        <f>INDEX(数值规划表!$H$16:$J$122,MATCH(卡牌图鉴!E14,数值规划表!$F$16:$F$21,0),1)</f>
        <v>1.1200000000000001</v>
      </c>
      <c r="G14" s="15">
        <f>INDEX(数值规划表!$H$16:$J$21,MATCH(卡牌图鉴!E14,数值规划表!$F$16:$F$21,0),2)</f>
        <v>1.1200000000000001</v>
      </c>
      <c r="H14" s="15">
        <f>INDEX(数值规划表!$J$16:$J$21,MATCH(卡牌图鉴!E14,数值规划表!$F$16:$F$21,0))</f>
        <v>1.1000000000000001</v>
      </c>
      <c r="I14" s="4" t="s">
        <v>85</v>
      </c>
      <c r="J14" s="12">
        <v>0.75</v>
      </c>
      <c r="K14" s="4">
        <v>4</v>
      </c>
      <c r="L14" s="12">
        <v>4</v>
      </c>
      <c r="M14" s="15">
        <f>INDEX(数值规划表!$E$45:$M$54,MATCH(卡牌图鉴!K14,数值规划表!$A$45:$A$54,0),MATCH(卡牌图鉴!I14,数值规划表!$E$44:$M$44,0))</f>
        <v>58.38</v>
      </c>
      <c r="N14" s="15">
        <f>INDEX(数值规划表!$N$45:$V$54,MATCH(卡牌图鉴!K14,数值规划表!$A$45:$A$54,0),MATCH(卡牌图鉴!I14,数值规划表!$E$44:$M$44,0))</f>
        <v>469.99</v>
      </c>
      <c r="O14" s="8">
        <v>1</v>
      </c>
      <c r="P14" s="15">
        <f>INDEX(数值规划表!$B$32:$F$33,2,卡牌图鉴!O14)</f>
        <v>1</v>
      </c>
      <c r="Q14" s="15">
        <f>INDEX(数值规划表!$B$32:$F$33,1,卡牌图鉴!O14)</f>
        <v>1</v>
      </c>
      <c r="R14" s="4" t="s">
        <v>36</v>
      </c>
      <c r="S14" s="12">
        <v>1</v>
      </c>
      <c r="T14" s="15">
        <f>INDEX(名称表!$B$4:$B$7,MATCH(卡牌图鉴!R14,品质名称,0))</f>
        <v>1</v>
      </c>
      <c r="U14" s="15">
        <f>INDEX(数值规划表!$L$30:$M$33,MATCH(卡牌图鉴!R14,品质名称,0),2)</f>
        <v>1</v>
      </c>
      <c r="V14" s="15">
        <f>INDEX(数值规划表!$L$30:$M$33,MATCH(卡牌图鉴!R14,数值规划表!$K$30:$K$33,0),1)</f>
        <v>1</v>
      </c>
      <c r="W14" s="12">
        <v>1</v>
      </c>
      <c r="X14" s="12">
        <v>1.2</v>
      </c>
      <c r="Y14" s="12">
        <v>1</v>
      </c>
      <c r="Z14" s="12">
        <v>1</v>
      </c>
      <c r="AA14" s="15">
        <f t="shared" si="1"/>
        <v>65.39</v>
      </c>
      <c r="AB14" s="15">
        <f t="shared" si="2"/>
        <v>631.66999999999996</v>
      </c>
      <c r="AC14" s="12" t="s">
        <v>1930</v>
      </c>
      <c r="AD14" s="15">
        <f t="shared" si="0"/>
        <v>8</v>
      </c>
      <c r="AE14" s="12"/>
      <c r="AF14" s="12">
        <f>INDEX(产销规划表!$B$20:$F$20,1,卡牌图鉴!S14)</f>
        <v>505</v>
      </c>
      <c r="AG14" s="4"/>
      <c r="AH14" s="4"/>
      <c r="AI14" s="4"/>
      <c r="AJ14" s="4"/>
      <c r="AK14" s="4"/>
      <c r="AL14" s="4"/>
    </row>
    <row r="15" spans="1:38" ht="99.95" customHeight="1" x14ac:dyDescent="0.15">
      <c r="A15" s="8">
        <v>3</v>
      </c>
      <c r="B15" s="8" t="s">
        <v>25</v>
      </c>
      <c r="C15" s="8">
        <v>1417</v>
      </c>
      <c r="D15" s="4"/>
      <c r="E15" s="4" t="s">
        <v>2658</v>
      </c>
      <c r="F15" s="15">
        <f>INDEX(数值规划表!$H$16:$J$122,MATCH(卡牌图鉴!E15,数值规划表!$F$16:$F$21,0),1)</f>
        <v>1.1200000000000001</v>
      </c>
      <c r="G15" s="15">
        <f>INDEX(数值规划表!$H$16:$J$21,MATCH(卡牌图鉴!E15,数值规划表!$F$16:$F$21,0),2)</f>
        <v>1.1200000000000001</v>
      </c>
      <c r="H15" s="15">
        <f>INDEX(数值规划表!$J$16:$J$21,MATCH(卡牌图鉴!E15,数值规划表!$F$16:$F$21,0))</f>
        <v>1.1000000000000001</v>
      </c>
      <c r="I15" s="8" t="s">
        <v>26</v>
      </c>
      <c r="J15" s="15">
        <f>INDEX(数值规划表!$B$7:$J$7,MATCH(卡牌图鉴!I15,数值规划表!$B$4:$J$4,0))</f>
        <v>5</v>
      </c>
      <c r="K15" s="4">
        <v>3</v>
      </c>
      <c r="L15" s="12">
        <v>3</v>
      </c>
      <c r="M15" s="15">
        <f>INDEX(数值规划表!$E$45:$M$54,MATCH(卡牌图鉴!K15,数值规划表!$A$45:$A$54,0),MATCH(卡牌图鉴!I15,数值规划表!$E$44:$M$44,0))</f>
        <v>47.15</v>
      </c>
      <c r="N15" s="15">
        <f>INDEX(数值规划表!$N$45:$V$54,MATCH(卡牌图鉴!K15,数值规划表!$A$45:$A$54,0),MATCH(卡牌图鉴!I15,数值规划表!$E$44:$M$44,0))</f>
        <v>126.65</v>
      </c>
      <c r="O15" s="8">
        <v>1</v>
      </c>
      <c r="P15" s="15">
        <f>INDEX(数值规划表!$B$32:$F$33,2,卡牌图鉴!O15)</f>
        <v>1</v>
      </c>
      <c r="Q15" s="15">
        <f>INDEX(数值规划表!$B$32:$F$33,1,卡牌图鉴!O15)</f>
        <v>1</v>
      </c>
      <c r="R15" s="4" t="s">
        <v>13</v>
      </c>
      <c r="S15" s="12">
        <v>3</v>
      </c>
      <c r="T15" s="15">
        <f>INDEX(名称表!$B$4:$B$7,MATCH(卡牌图鉴!R15,品质名称,0))</f>
        <v>3</v>
      </c>
      <c r="U15" s="15">
        <f>INDEX(数值规划表!$L$30:$M$33,MATCH(卡牌图鉴!R15,品质名称,0),2)</f>
        <v>1.25</v>
      </c>
      <c r="V15" s="15">
        <f>INDEX(数值规划表!$L$30:$M$33,MATCH(卡牌图鉴!R15,数值规划表!$K$30:$K$33,0),1)</f>
        <v>1.25</v>
      </c>
      <c r="W15" s="12">
        <v>1</v>
      </c>
      <c r="X15" s="12">
        <v>1</v>
      </c>
      <c r="Y15" s="12">
        <v>1</v>
      </c>
      <c r="Z15" s="12">
        <v>1</v>
      </c>
      <c r="AA15" s="15">
        <f t="shared" si="1"/>
        <v>66.010000000000005</v>
      </c>
      <c r="AB15" s="15">
        <f t="shared" si="2"/>
        <v>177.31</v>
      </c>
      <c r="AC15" s="12" t="s">
        <v>1953</v>
      </c>
      <c r="AD15" s="15">
        <f t="shared" si="0"/>
        <v>6</v>
      </c>
      <c r="AE15" s="12"/>
      <c r="AF15" s="12">
        <f>INDEX(产销规划表!$B$20:$F$20,1,卡牌图鉴!S15)</f>
        <v>185</v>
      </c>
      <c r="AG15" s="4"/>
      <c r="AH15" s="8" t="s">
        <v>2740</v>
      </c>
      <c r="AI15" s="4"/>
      <c r="AJ15" s="4"/>
      <c r="AK15" s="4"/>
      <c r="AL15" s="4"/>
    </row>
    <row r="16" spans="1:38" ht="99.95" customHeight="1" x14ac:dyDescent="0.15">
      <c r="A16" s="8">
        <v>3</v>
      </c>
      <c r="B16" s="8" t="s">
        <v>40</v>
      </c>
      <c r="C16" s="8">
        <v>1250</v>
      </c>
      <c r="D16" s="4"/>
      <c r="E16" s="4" t="s">
        <v>53</v>
      </c>
      <c r="F16" s="15">
        <f>INDEX(数值规划表!$H$16:$J$122,MATCH(卡牌图鉴!E16,数值规划表!$F$16:$F$21,0),1)</f>
        <v>0.92</v>
      </c>
      <c r="G16" s="15">
        <f>INDEX(数值规划表!$H$16:$J$21,MATCH(卡牌图鉴!E16,数值规划表!$F$16:$F$21,0),2)</f>
        <v>0.92</v>
      </c>
      <c r="H16" s="15">
        <f>INDEX(数值规划表!$J$16:$J$21,MATCH(卡牌图鉴!E16,数值规划表!$F$16:$F$21,0))</f>
        <v>2</v>
      </c>
      <c r="I16" s="8" t="s">
        <v>21</v>
      </c>
      <c r="J16" s="15">
        <f>INDEX(数值规划表!$B$7:$J$7,MATCH(卡牌图鉴!I16,数值规划表!$B$4:$J$4,0))</f>
        <v>4.5</v>
      </c>
      <c r="K16" s="4">
        <v>3</v>
      </c>
      <c r="L16" s="12">
        <v>3</v>
      </c>
      <c r="M16" s="15">
        <f>INDEX(数值规划表!$E$45:$M$54,MATCH(卡牌图鉴!K16,数值规划表!$A$45:$A$54,0),MATCH(卡牌图鉴!I16,数值规划表!$E$44:$M$44,0))</f>
        <v>46.22</v>
      </c>
      <c r="N16" s="15">
        <f>INDEX(数值规划表!$N$45:$V$54,MATCH(卡牌图鉴!K16,数值规划表!$A$45:$A$54,0),MATCH(卡牌图鉴!I16,数值规划表!$E$44:$M$44,0))</f>
        <v>129.41999999999999</v>
      </c>
      <c r="O16" s="8">
        <v>2</v>
      </c>
      <c r="P16" s="15">
        <f>INDEX(数值规划表!$B$32:$F$33,2,卡牌图鉴!O16)</f>
        <v>0.7</v>
      </c>
      <c r="Q16" s="15">
        <f>INDEX(数值规划表!$B$32:$F$33,1,卡牌图鉴!O16)</f>
        <v>0.56999999999999995</v>
      </c>
      <c r="R16" s="4" t="s">
        <v>13</v>
      </c>
      <c r="S16" s="12">
        <v>3</v>
      </c>
      <c r="T16" s="15">
        <f>INDEX(名称表!$B$4:$B$7,MATCH(卡牌图鉴!R16,品质名称,0))</f>
        <v>3</v>
      </c>
      <c r="U16" s="15">
        <f>INDEX(数值规划表!$L$30:$M$33,MATCH(卡牌图鉴!R16,品质名称,0),2)</f>
        <v>1.25</v>
      </c>
      <c r="V16" s="15">
        <f>INDEX(数值规划表!$L$30:$M$33,MATCH(卡牌图鉴!R16,数值规划表!$K$30:$K$33,0),1)</f>
        <v>1.25</v>
      </c>
      <c r="W16" s="12">
        <v>1</v>
      </c>
      <c r="X16" s="12">
        <v>1</v>
      </c>
      <c r="Y16" s="12">
        <v>1</v>
      </c>
      <c r="Z16" s="12">
        <v>1</v>
      </c>
      <c r="AA16" s="15">
        <f t="shared" si="1"/>
        <v>37.21</v>
      </c>
      <c r="AB16" s="15">
        <f t="shared" si="2"/>
        <v>84.83</v>
      </c>
      <c r="AC16" s="12" t="s">
        <v>1930</v>
      </c>
      <c r="AD16" s="15">
        <f t="shared" si="0"/>
        <v>8</v>
      </c>
      <c r="AE16" s="12"/>
      <c r="AF16" s="12">
        <f>INDEX(产销规划表!$B$20:$F$20,1,卡牌图鉴!S16)</f>
        <v>185</v>
      </c>
      <c r="AG16" s="4"/>
      <c r="AH16" s="4"/>
      <c r="AI16" s="4"/>
      <c r="AJ16" s="4"/>
      <c r="AK16" s="4"/>
      <c r="AL16" s="4"/>
    </row>
    <row r="17" spans="1:38" ht="99.95" customHeight="1" x14ac:dyDescent="0.15">
      <c r="A17" s="8">
        <v>3</v>
      </c>
      <c r="B17" s="8" t="s">
        <v>38</v>
      </c>
      <c r="C17" s="8">
        <v>1151</v>
      </c>
      <c r="D17" s="4"/>
      <c r="E17" s="4" t="s">
        <v>2658</v>
      </c>
      <c r="F17" s="15">
        <f>INDEX(数值规划表!$H$16:$J$122,MATCH(卡牌图鉴!E17,数值规划表!$F$16:$F$21,0),1)</f>
        <v>1.1200000000000001</v>
      </c>
      <c r="G17" s="15">
        <f>INDEX(数值规划表!$H$16:$J$21,MATCH(卡牌图鉴!E17,数值规划表!$F$16:$F$21,0),2)</f>
        <v>1.1200000000000001</v>
      </c>
      <c r="H17" s="15">
        <f>INDEX(数值规划表!$J$16:$J$21,MATCH(卡牌图鉴!E17,数值规划表!$F$16:$F$21,0))</f>
        <v>1.1000000000000001</v>
      </c>
      <c r="I17" s="8" t="s">
        <v>118</v>
      </c>
      <c r="J17" s="15">
        <f>INDEX(数值规划表!$B$7:$J$7,MATCH(卡牌图鉴!I17,数值规划表!$B$4:$J$4,0))</f>
        <v>4</v>
      </c>
      <c r="K17" s="4">
        <v>3</v>
      </c>
      <c r="L17" s="12">
        <v>4</v>
      </c>
      <c r="M17" s="15">
        <f>INDEX(数值规划表!$E$45:$M$54,MATCH(卡牌图鉴!K17,数值规划表!$A$45:$A$54,0),MATCH(卡牌图鉴!I17,数值规划表!$E$44:$M$44,0))</f>
        <v>50.84</v>
      </c>
      <c r="N17" s="15">
        <f>INDEX(数值规划表!$N$45:$V$54,MATCH(卡牌图鉴!K17,数值规划表!$A$45:$A$54,0),MATCH(卡牌图鉴!I17,数值规划表!$E$44:$M$44,0))</f>
        <v>202.45</v>
      </c>
      <c r="O17" s="8">
        <v>1</v>
      </c>
      <c r="P17" s="15">
        <f>INDEX(数值规划表!$B$32:$F$33,2,卡牌图鉴!O17)</f>
        <v>1</v>
      </c>
      <c r="Q17" s="15">
        <f>INDEX(数值规划表!$B$32:$F$33,1,卡牌图鉴!O17)</f>
        <v>1</v>
      </c>
      <c r="R17" s="4" t="s">
        <v>13</v>
      </c>
      <c r="S17" s="12">
        <v>3</v>
      </c>
      <c r="T17" s="15">
        <f>INDEX(名称表!$B$4:$B$7,MATCH(卡牌图鉴!R17,品质名称,0))</f>
        <v>3</v>
      </c>
      <c r="U17" s="15">
        <f>INDEX(数值规划表!$L$30:$M$33,MATCH(卡牌图鉴!R17,品质名称,0),2)</f>
        <v>1.25</v>
      </c>
      <c r="V17" s="15">
        <f>INDEX(数值规划表!$L$30:$M$33,MATCH(卡牌图鉴!R17,数值规划表!$K$30:$K$33,0),1)</f>
        <v>1.25</v>
      </c>
      <c r="W17" s="12">
        <v>1</v>
      </c>
      <c r="X17" s="12">
        <v>1</v>
      </c>
      <c r="Y17" s="12">
        <v>1</v>
      </c>
      <c r="Z17" s="12">
        <v>1</v>
      </c>
      <c r="AA17" s="15">
        <f t="shared" si="1"/>
        <v>71.180000000000007</v>
      </c>
      <c r="AB17" s="15">
        <f t="shared" si="2"/>
        <v>283.43</v>
      </c>
      <c r="AC17" s="12" t="s">
        <v>1930</v>
      </c>
      <c r="AD17" s="15">
        <f t="shared" si="0"/>
        <v>8</v>
      </c>
      <c r="AE17" s="12"/>
      <c r="AF17" s="12">
        <f>INDEX(产销规划表!$B$20:$F$20,1,卡牌图鉴!S17)</f>
        <v>185</v>
      </c>
      <c r="AG17" s="4"/>
      <c r="AH17" s="8" t="s">
        <v>2340</v>
      </c>
      <c r="AI17" s="4"/>
      <c r="AJ17" s="4"/>
      <c r="AK17" s="4"/>
      <c r="AL17" s="4"/>
    </row>
    <row r="18" spans="1:38" ht="99.95" customHeight="1" x14ac:dyDescent="0.15">
      <c r="A18" s="8">
        <v>3</v>
      </c>
      <c r="B18" s="8" t="s">
        <v>16</v>
      </c>
      <c r="C18" s="8">
        <v>1351</v>
      </c>
      <c r="D18" s="4"/>
      <c r="E18" s="4" t="s">
        <v>51</v>
      </c>
      <c r="F18" s="15">
        <f>INDEX(数值规划表!$H$16:$J$122,MATCH(卡牌图鉴!E18,数值规划表!$F$16:$F$21,0),1)</f>
        <v>1</v>
      </c>
      <c r="G18" s="15">
        <f>INDEX(数值规划表!$H$16:$J$21,MATCH(卡牌图鉴!E18,数值规划表!$F$16:$F$21,0),2)</f>
        <v>1</v>
      </c>
      <c r="H18" s="15">
        <f>INDEX(数值规划表!$J$16:$J$21,MATCH(卡牌图鉴!E18,数值规划表!$F$16:$F$21,0))</f>
        <v>1.4</v>
      </c>
      <c r="I18" s="8" t="s">
        <v>84</v>
      </c>
      <c r="J18" s="15">
        <f>INDEX(数值规划表!$B$7:$J$7,MATCH(卡牌图鉴!I18,数值规划表!$B$4:$J$4,0))</f>
        <v>1.2</v>
      </c>
      <c r="K18" s="4">
        <v>7</v>
      </c>
      <c r="L18" s="12">
        <v>7</v>
      </c>
      <c r="M18" s="15">
        <f>INDEX(数值规划表!$E$45:$M$54,MATCH(卡牌图鉴!K18,数值规划表!$A$45:$A$54,0),MATCH(卡牌图鉴!I18,数值规划表!$E$44:$M$44,0))</f>
        <v>42.22</v>
      </c>
      <c r="N18" s="15">
        <f>INDEX(数值规划表!$N$45:$V$54,MATCH(卡牌图鉴!K18,数值规划表!$A$45:$A$54,0),MATCH(卡牌图鉴!I18,数值规划表!$E$44:$M$44,0))</f>
        <v>1156.6500000000001</v>
      </c>
      <c r="O18" s="8">
        <v>1</v>
      </c>
      <c r="P18" s="15">
        <f>INDEX(数值规划表!$B$32:$F$33,2,卡牌图鉴!O18)</f>
        <v>1</v>
      </c>
      <c r="Q18" s="15">
        <f>INDEX(数值规划表!$B$32:$F$33,1,卡牌图鉴!O18)</f>
        <v>1</v>
      </c>
      <c r="R18" s="4" t="s">
        <v>13</v>
      </c>
      <c r="S18" s="12">
        <v>3</v>
      </c>
      <c r="T18" s="15">
        <f>INDEX(名称表!$B$4:$B$7,MATCH(卡牌图鉴!R18,品质名称,0))</f>
        <v>3</v>
      </c>
      <c r="U18" s="15">
        <f>INDEX(数值规划表!$L$30:$M$33,MATCH(卡牌图鉴!R18,品质名称,0),2)</f>
        <v>1.25</v>
      </c>
      <c r="V18" s="15">
        <f>INDEX(数值规划表!$L$30:$M$33,MATCH(卡牌图鉴!R18,数值规划表!$K$30:$K$33,0),1)</f>
        <v>1.25</v>
      </c>
      <c r="W18" s="12">
        <v>0.75</v>
      </c>
      <c r="X18" s="12">
        <v>0.9</v>
      </c>
      <c r="Y18" s="12">
        <v>1</v>
      </c>
      <c r="Z18" s="12">
        <v>1</v>
      </c>
      <c r="AA18" s="15">
        <f t="shared" si="1"/>
        <v>39.58</v>
      </c>
      <c r="AB18" s="15">
        <f t="shared" si="2"/>
        <v>1301.23</v>
      </c>
      <c r="AC18" s="12" t="s">
        <v>1930</v>
      </c>
      <c r="AD18" s="15">
        <f t="shared" si="0"/>
        <v>8</v>
      </c>
      <c r="AE18" s="12"/>
      <c r="AF18" s="12">
        <f>INDEX(产销规划表!$B$20:$F$20,1,卡牌图鉴!S18)</f>
        <v>185</v>
      </c>
      <c r="AG18" s="4"/>
      <c r="AH18" s="8" t="s">
        <v>2341</v>
      </c>
      <c r="AI18" s="4"/>
      <c r="AJ18" s="4"/>
      <c r="AK18" s="4"/>
      <c r="AL18" s="4"/>
    </row>
    <row r="19" spans="1:38" ht="99.95" customHeight="1" x14ac:dyDescent="0.15">
      <c r="A19" s="8">
        <v>4</v>
      </c>
      <c r="B19" s="8" t="s">
        <v>41</v>
      </c>
      <c r="C19" s="8">
        <v>1078</v>
      </c>
      <c r="D19" s="4"/>
      <c r="E19" s="4" t="s">
        <v>97</v>
      </c>
      <c r="F19" s="15">
        <f>INDEX(数值规划表!$H$16:$J$122,MATCH(卡牌图鉴!E19,数值规划表!$F$16:$F$21,0),1)</f>
        <v>0.84</v>
      </c>
      <c r="G19" s="15">
        <f>INDEX(数值规划表!$H$16:$J$21,MATCH(卡牌图鉴!E19,数值规划表!$F$16:$F$21,0),2)</f>
        <v>0.84</v>
      </c>
      <c r="H19" s="15">
        <f>INDEX(数值规划表!$J$16:$J$21,MATCH(卡牌图鉴!E19,数值规划表!$F$16:$F$21,0))</f>
        <v>3.3</v>
      </c>
      <c r="I19" s="4" t="s">
        <v>90</v>
      </c>
      <c r="J19" s="15">
        <f>INDEX(数值规划表!$B$7:$J$7,MATCH(卡牌图鉴!I19,数值规划表!$B$4:$J$4,0))</f>
        <v>1.2</v>
      </c>
      <c r="K19" s="4">
        <v>5</v>
      </c>
      <c r="L19" s="12">
        <v>5</v>
      </c>
      <c r="M19" s="15">
        <f>INDEX(数值规划表!$E$45:$M$54,MATCH(卡牌图鉴!K19,数值规划表!$A$45:$A$54,0),MATCH(卡牌图鉴!I19,数值规划表!$E$44:$M$44,0))</f>
        <v>82.96</v>
      </c>
      <c r="N19" s="15">
        <f>INDEX(数值规划表!$N$45:$V$54,MATCH(卡牌图鉴!K19,数值规划表!$A$45:$A$54,0),MATCH(卡牌图鉴!I19,数值规划表!$E$44:$M$44,0))</f>
        <v>432.86</v>
      </c>
      <c r="O19" s="8">
        <v>3</v>
      </c>
      <c r="P19" s="15">
        <f>INDEX(数值规划表!$B$32:$F$33,2,卡牌图鉴!O19)</f>
        <v>0.6</v>
      </c>
      <c r="Q19" s="15">
        <f>INDEX(数值规划表!$B$32:$F$33,1,卡牌图鉴!O19)</f>
        <v>0.4</v>
      </c>
      <c r="R19" s="4" t="s">
        <v>13</v>
      </c>
      <c r="S19" s="12">
        <v>3</v>
      </c>
      <c r="T19" s="15">
        <f>INDEX(名称表!$B$4:$B$7,MATCH(卡牌图鉴!R19,品质名称,0))</f>
        <v>3</v>
      </c>
      <c r="U19" s="15">
        <f>INDEX(数值规划表!$L$30:$M$33,MATCH(卡牌图鉴!R19,品质名称,0),2)</f>
        <v>1.25</v>
      </c>
      <c r="V19" s="15">
        <f>INDEX(数值规划表!$L$30:$M$33,MATCH(卡牌图鉴!R19,数值规划表!$K$30:$K$33,0),1)</f>
        <v>1.25</v>
      </c>
      <c r="W19" s="12">
        <v>1.5</v>
      </c>
      <c r="X19" s="12">
        <v>1.2</v>
      </c>
      <c r="Y19" s="12">
        <v>1</v>
      </c>
      <c r="Z19" s="12">
        <v>1</v>
      </c>
      <c r="AA19" s="15">
        <f t="shared" si="1"/>
        <v>78.400000000000006</v>
      </c>
      <c r="AB19" s="15">
        <f t="shared" si="2"/>
        <v>218.16</v>
      </c>
      <c r="AC19" s="12" t="s">
        <v>1928</v>
      </c>
      <c r="AD19" s="15">
        <f t="shared" si="0"/>
        <v>12</v>
      </c>
      <c r="AE19" s="12"/>
      <c r="AF19" s="12">
        <f>INDEX(产销规划表!$B$20:$F$20,1,卡牌图鉴!S19)</f>
        <v>185</v>
      </c>
      <c r="AG19" s="4"/>
      <c r="AH19" s="8" t="s">
        <v>2342</v>
      </c>
      <c r="AI19" s="4"/>
      <c r="AJ19" s="4"/>
      <c r="AK19" s="4"/>
      <c r="AL19" s="4"/>
    </row>
    <row r="20" spans="1:38" ht="99.95" customHeight="1" x14ac:dyDescent="0.15">
      <c r="A20" s="8"/>
      <c r="B20" s="8" t="s">
        <v>606</v>
      </c>
      <c r="C20" s="8">
        <v>1116</v>
      </c>
      <c r="D20" s="12"/>
      <c r="E20" s="12" t="s">
        <v>97</v>
      </c>
      <c r="F20" s="15">
        <f>INDEX(数值规划表!$H$16:$J$122,MATCH(卡牌图鉴!E20,数值规划表!$F$16:$F$21,0),1)</f>
        <v>0.84</v>
      </c>
      <c r="G20" s="15">
        <f>INDEX(数值规划表!$H$16:$J$21,MATCH(卡牌图鉴!E20,数值规划表!$F$16:$F$21,0),2)</f>
        <v>0.84</v>
      </c>
      <c r="H20" s="15">
        <f>INDEX(数值规划表!$J$16:$J$21,MATCH(卡牌图鉴!E20,数值规划表!$F$16:$F$21,0))</f>
        <v>3.3</v>
      </c>
      <c r="I20" s="12" t="s">
        <v>90</v>
      </c>
      <c r="J20" s="15">
        <f>INDEX(数值规划表!$B$7:$J$7,MATCH(卡牌图鉴!I20,数值规划表!$B$4:$J$4,0))</f>
        <v>1.2</v>
      </c>
      <c r="K20" s="12">
        <v>5</v>
      </c>
      <c r="L20" s="12">
        <v>3</v>
      </c>
      <c r="M20" s="15">
        <f>INDEX(数值规划表!$E$45:$M$54,MATCH(卡牌图鉴!K20,数值规划表!$A$45:$A$54,0),MATCH(卡牌图鉴!I20,数值规划表!$E$44:$M$44,0))</f>
        <v>82.96</v>
      </c>
      <c r="N20" s="15">
        <f>INDEX(数值规划表!$N$45:$V$54,MATCH(卡牌图鉴!K20,数值规划表!$A$45:$A$54,0),MATCH(卡牌图鉴!I20,数值规划表!$E$44:$M$44,0))</f>
        <v>432.86</v>
      </c>
      <c r="O20" s="8">
        <v>3</v>
      </c>
      <c r="P20" s="15">
        <f>INDEX(数值规划表!$B$32:$F$33,2,卡牌图鉴!O20)</f>
        <v>0.6</v>
      </c>
      <c r="Q20" s="15">
        <f>INDEX(数值规划表!$B$32:$F$33,1,卡牌图鉴!O20)</f>
        <v>0.4</v>
      </c>
      <c r="R20" s="12" t="s">
        <v>13</v>
      </c>
      <c r="S20" s="12">
        <v>3</v>
      </c>
      <c r="T20" s="15">
        <f>INDEX(名称表!$B$4:$B$7,MATCH(卡牌图鉴!R20,品质名称,0))</f>
        <v>3</v>
      </c>
      <c r="U20" s="15">
        <f>INDEX(数值规划表!$L$30:$M$33,MATCH(卡牌图鉴!R20,品质名称,0),2)</f>
        <v>1.25</v>
      </c>
      <c r="V20" s="15">
        <f>INDEX(数值规划表!$L$30:$M$33,MATCH(卡牌图鉴!R20,数值规划表!$K$30:$K$33,0),1)</f>
        <v>1.25</v>
      </c>
      <c r="W20" s="12">
        <v>0.7</v>
      </c>
      <c r="X20" s="12">
        <v>1</v>
      </c>
      <c r="Y20" s="12">
        <v>1</v>
      </c>
      <c r="Z20" s="12">
        <v>1</v>
      </c>
      <c r="AA20" s="15">
        <f t="shared" si="1"/>
        <v>36.590000000000003</v>
      </c>
      <c r="AB20" s="15">
        <f t="shared" si="2"/>
        <v>181.8</v>
      </c>
      <c r="AC20" s="12" t="s">
        <v>1928</v>
      </c>
      <c r="AD20" s="15">
        <f t="shared" si="0"/>
        <v>12</v>
      </c>
      <c r="AE20" s="12"/>
      <c r="AF20" s="12">
        <f>INDEX(产销规划表!$B$20:$F$20,1,卡牌图鉴!S20)</f>
        <v>185</v>
      </c>
      <c r="AG20" s="12"/>
      <c r="AH20" s="12"/>
      <c r="AI20" s="12"/>
      <c r="AJ20" s="12"/>
      <c r="AK20" s="12"/>
      <c r="AL20" s="12"/>
    </row>
    <row r="21" spans="1:38" ht="99.95" customHeight="1" x14ac:dyDescent="0.15">
      <c r="A21" s="8">
        <v>4</v>
      </c>
      <c r="B21" s="8" t="s">
        <v>37</v>
      </c>
      <c r="C21" s="8">
        <v>1406</v>
      </c>
      <c r="D21" s="4"/>
      <c r="E21" s="4" t="s">
        <v>51</v>
      </c>
      <c r="F21" s="15">
        <f>INDEX(数值规划表!$H$16:$J$122,MATCH(卡牌图鉴!E21,数值规划表!$F$16:$F$21,0),1)</f>
        <v>1</v>
      </c>
      <c r="G21" s="15">
        <f>INDEX(数值规划表!$H$16:$J$21,MATCH(卡牌图鉴!E21,数值规划表!$F$16:$F$21,0),2)</f>
        <v>1</v>
      </c>
      <c r="H21" s="15">
        <f>INDEX(数值规划表!$J$16:$J$21,MATCH(卡牌图鉴!E21,数值规划表!$F$16:$F$21,0))</f>
        <v>1.4</v>
      </c>
      <c r="I21" s="8" t="s">
        <v>86</v>
      </c>
      <c r="J21" s="15">
        <f>INDEX(数值规划表!$B$7:$J$7,MATCH(卡牌图鉴!I21,数值规划表!$B$4:$J$4,0))</f>
        <v>5</v>
      </c>
      <c r="K21" s="4">
        <v>3</v>
      </c>
      <c r="L21" s="12">
        <v>3</v>
      </c>
      <c r="M21" s="15">
        <f>INDEX(数值规划表!$E$45:$M$54,MATCH(卡牌图鉴!K21,数值规划表!$A$45:$A$54,0),MATCH(卡牌图鉴!I21,数值规划表!$E$44:$M$44,0))</f>
        <v>47.15</v>
      </c>
      <c r="N21" s="15">
        <f>INDEX(数值规划表!$N$45:$V$54,MATCH(卡牌图鉴!K21,数值规划表!$A$45:$A$54,0),MATCH(卡牌图鉴!I21,数值规划表!$E$44:$M$44,0))</f>
        <v>126.65</v>
      </c>
      <c r="O21" s="8">
        <v>1</v>
      </c>
      <c r="P21" s="15">
        <f>INDEX(数值规划表!$B$32:$F$33,2,卡牌图鉴!O21)</f>
        <v>1</v>
      </c>
      <c r="Q21" s="15">
        <f>INDEX(数值规划表!$B$32:$F$33,1,卡牌图鉴!O21)</f>
        <v>1</v>
      </c>
      <c r="R21" s="4" t="s">
        <v>36</v>
      </c>
      <c r="S21" s="12">
        <v>1</v>
      </c>
      <c r="T21" s="15">
        <f>INDEX(名称表!$B$4:$B$7,MATCH(卡牌图鉴!R21,品质名称,0))</f>
        <v>1</v>
      </c>
      <c r="U21" s="15">
        <f>INDEX(数值规划表!$L$30:$M$33,MATCH(卡牌图鉴!R21,品质名称,0),2)</f>
        <v>1</v>
      </c>
      <c r="V21" s="15">
        <f>INDEX(数值规划表!$L$30:$M$33,MATCH(卡牌图鉴!R21,数值规划表!$K$30:$K$33,0),1)</f>
        <v>1</v>
      </c>
      <c r="W21" s="12">
        <v>1</v>
      </c>
      <c r="X21" s="12">
        <v>0.8</v>
      </c>
      <c r="Y21" s="12">
        <v>1</v>
      </c>
      <c r="Z21" s="12">
        <v>1</v>
      </c>
      <c r="AA21" s="15">
        <f t="shared" si="1"/>
        <v>47.15</v>
      </c>
      <c r="AB21" s="15">
        <f t="shared" si="2"/>
        <v>101.32</v>
      </c>
      <c r="AC21" s="12" t="s">
        <v>1930</v>
      </c>
      <c r="AD21" s="15">
        <f t="shared" si="0"/>
        <v>8</v>
      </c>
      <c r="AE21" s="12"/>
      <c r="AF21" s="12">
        <f>INDEX(产销规划表!$B$20:$F$20,1,卡牌图鉴!S21)</f>
        <v>505</v>
      </c>
      <c r="AG21" s="4"/>
      <c r="AH21" s="8" t="s">
        <v>3002</v>
      </c>
      <c r="AI21" s="4"/>
      <c r="AJ21" s="4"/>
      <c r="AK21" s="4"/>
      <c r="AL21" s="4"/>
    </row>
    <row r="22" spans="1:38" ht="99.95" customHeight="1" x14ac:dyDescent="0.15">
      <c r="A22" s="8">
        <v>4</v>
      </c>
      <c r="B22" s="8" t="s">
        <v>39</v>
      </c>
      <c r="C22" s="8">
        <v>1034</v>
      </c>
      <c r="D22" s="4"/>
      <c r="E22" s="12" t="s">
        <v>2658</v>
      </c>
      <c r="F22" s="15">
        <f>INDEX(数值规划表!$H$16:$J$122,MATCH(卡牌图鉴!E22,数值规划表!$F$16:$F$21,0),1)</f>
        <v>1.1200000000000001</v>
      </c>
      <c r="G22" s="15">
        <f>INDEX(数值规划表!$H$16:$J$21,MATCH(卡牌图鉴!E22,数值规划表!$F$16:$F$21,0),2)</f>
        <v>1.1200000000000001</v>
      </c>
      <c r="H22" s="15">
        <f>INDEX(数值规划表!$J$16:$J$21,MATCH(卡牌图鉴!E22,数值规划表!$F$16:$F$21,0))</f>
        <v>1.1000000000000001</v>
      </c>
      <c r="I22" s="8" t="s">
        <v>131</v>
      </c>
      <c r="J22" s="12">
        <v>6.5</v>
      </c>
      <c r="K22" s="4">
        <v>4</v>
      </c>
      <c r="L22" s="12">
        <v>4</v>
      </c>
      <c r="M22" s="15">
        <f>INDEX(数值规划表!$E$45:$M$54,MATCH(卡牌图鉴!K22,数值规划表!$A$45:$A$54,0),MATCH(卡牌图鉴!I22,数值规划表!$E$44:$M$44,0))</f>
        <v>53.17</v>
      </c>
      <c r="N22" s="15">
        <f>INDEX(数值规划表!$N$45:$V$54,MATCH(卡牌图鉴!K22,数值规划表!$A$45:$A$54,0),MATCH(卡牌图鉴!I22,数值规划表!$E$44:$M$44,0))</f>
        <v>212.22</v>
      </c>
      <c r="O22" s="8">
        <v>1</v>
      </c>
      <c r="P22" s="15">
        <f>INDEX(数值规划表!$B$32:$F$33,2,卡牌图鉴!O22)</f>
        <v>1</v>
      </c>
      <c r="Q22" s="15">
        <f>INDEX(数值规划表!$B$32:$F$33,1,卡牌图鉴!O22)</f>
        <v>1</v>
      </c>
      <c r="R22" s="4" t="s">
        <v>36</v>
      </c>
      <c r="S22" s="12">
        <v>1</v>
      </c>
      <c r="T22" s="15">
        <f>INDEX(名称表!$B$4:$B$7,MATCH(卡牌图鉴!R22,品质名称,0))</f>
        <v>1</v>
      </c>
      <c r="U22" s="15">
        <f>INDEX(数值规划表!$L$30:$M$33,MATCH(卡牌图鉴!R22,品质名称,0),2)</f>
        <v>1</v>
      </c>
      <c r="V22" s="15">
        <f>INDEX(数值规划表!$L$30:$M$33,MATCH(卡牌图鉴!R22,数值规划表!$K$30:$K$33,0),1)</f>
        <v>1</v>
      </c>
      <c r="W22" s="12">
        <v>0.5</v>
      </c>
      <c r="X22" s="12">
        <v>1</v>
      </c>
      <c r="Y22" s="12">
        <v>1</v>
      </c>
      <c r="Z22" s="12">
        <v>1</v>
      </c>
      <c r="AA22" s="15">
        <f t="shared" si="1"/>
        <v>29.78</v>
      </c>
      <c r="AB22" s="15">
        <f t="shared" si="2"/>
        <v>237.69</v>
      </c>
      <c r="AC22" s="12" t="s">
        <v>1930</v>
      </c>
      <c r="AD22" s="15">
        <f t="shared" si="0"/>
        <v>8</v>
      </c>
      <c r="AE22" s="12"/>
      <c r="AF22" s="12">
        <f>INDEX(产销规划表!$B$20:$F$20,1,卡牌图鉴!S22)</f>
        <v>505</v>
      </c>
      <c r="AG22" s="4"/>
      <c r="AH22" s="8" t="s">
        <v>2415</v>
      </c>
      <c r="AI22" s="4"/>
      <c r="AJ22" s="4"/>
      <c r="AK22" s="4"/>
      <c r="AL22" s="4"/>
    </row>
    <row r="23" spans="1:38" ht="99.95" customHeight="1" x14ac:dyDescent="0.15">
      <c r="A23" s="8">
        <v>4</v>
      </c>
      <c r="B23" s="8" t="s">
        <v>27</v>
      </c>
      <c r="C23" s="8">
        <v>1539</v>
      </c>
      <c r="D23" s="4"/>
      <c r="E23" s="12" t="s">
        <v>51</v>
      </c>
      <c r="F23" s="15">
        <f>INDEX(数值规划表!$H$16:$J$122,MATCH(卡牌图鉴!E23,数值规划表!$F$16:$F$21,0),1)</f>
        <v>1</v>
      </c>
      <c r="G23" s="15">
        <f>INDEX(数值规划表!$H$16:$J$21,MATCH(卡牌图鉴!E23,数值规划表!$F$16:$F$21,0),2)</f>
        <v>1</v>
      </c>
      <c r="H23" s="15">
        <f>INDEX(数值规划表!$J$16:$J$21,MATCH(卡牌图鉴!E23,数值规划表!$F$16:$F$21,0))</f>
        <v>1.4</v>
      </c>
      <c r="I23" s="8" t="s">
        <v>131</v>
      </c>
      <c r="J23" s="15">
        <f>INDEX(数值规划表!$B$7:$J$7,MATCH(卡牌图鉴!I23,数值规划表!$B$4:$J$4,0))</f>
        <v>5</v>
      </c>
      <c r="K23" s="4">
        <v>3</v>
      </c>
      <c r="L23" s="12">
        <v>5</v>
      </c>
      <c r="M23" s="15">
        <f>INDEX(数值规划表!$E$45:$M$54,MATCH(卡牌图鉴!K23,数值规划表!$A$45:$A$54,0),MATCH(卡牌图鉴!I23,数值规划表!$E$44:$M$44,0))</f>
        <v>47.15</v>
      </c>
      <c r="N23" s="15">
        <f>INDEX(数值规划表!$N$45:$V$54,MATCH(卡牌图鉴!K23,数值规划表!$A$45:$A$54,0),MATCH(卡牌图鉴!I23,数值规划表!$E$44:$M$44,0))</f>
        <v>163.62</v>
      </c>
      <c r="O23" s="8">
        <v>1</v>
      </c>
      <c r="P23" s="15">
        <f>INDEX(数值规划表!$B$32:$F$33,2,卡牌图鉴!O23)</f>
        <v>1</v>
      </c>
      <c r="Q23" s="15">
        <f>INDEX(数值规划表!$B$32:$F$33,1,卡牌图鉴!O23)</f>
        <v>1</v>
      </c>
      <c r="R23" s="4" t="s">
        <v>13</v>
      </c>
      <c r="S23" s="12">
        <v>3</v>
      </c>
      <c r="T23" s="15">
        <f>INDEX(名称表!$B$4:$B$7,MATCH(卡牌图鉴!R23,品质名称,0))</f>
        <v>3</v>
      </c>
      <c r="U23" s="15">
        <f>INDEX(数值规划表!$L$30:$M$33,MATCH(卡牌图鉴!R23,品质名称,0),2)</f>
        <v>1.25</v>
      </c>
      <c r="V23" s="15">
        <f>INDEX(数值规划表!$L$30:$M$33,MATCH(卡牌图鉴!R23,数值规划表!$K$30:$K$33,0),1)</f>
        <v>1.25</v>
      </c>
      <c r="W23" s="12">
        <v>0.75</v>
      </c>
      <c r="X23" s="12">
        <v>1.35</v>
      </c>
      <c r="Y23" s="12">
        <v>1</v>
      </c>
      <c r="Z23" s="12">
        <v>1</v>
      </c>
      <c r="AA23" s="15">
        <f t="shared" si="1"/>
        <v>44.2</v>
      </c>
      <c r="AB23" s="15">
        <f t="shared" si="2"/>
        <v>276.11</v>
      </c>
      <c r="AC23" s="12" t="s">
        <v>1930</v>
      </c>
      <c r="AD23" s="15">
        <f t="shared" si="0"/>
        <v>8</v>
      </c>
      <c r="AE23" s="12"/>
      <c r="AF23" s="12">
        <f>INDEX(产销规划表!$B$20:$F$20,1,卡牌图鉴!S23)</f>
        <v>185</v>
      </c>
      <c r="AG23" s="4"/>
      <c r="AH23" s="8" t="s">
        <v>2343</v>
      </c>
      <c r="AI23" s="4"/>
      <c r="AJ23" s="4"/>
      <c r="AK23" s="4"/>
      <c r="AL23" s="4"/>
    </row>
    <row r="24" spans="1:38" ht="99.95" customHeight="1" x14ac:dyDescent="0.15">
      <c r="A24" s="8">
        <v>4</v>
      </c>
      <c r="B24" s="8" t="s">
        <v>32</v>
      </c>
      <c r="C24" s="8">
        <v>1439</v>
      </c>
      <c r="D24" s="4"/>
      <c r="E24" s="12" t="s">
        <v>51</v>
      </c>
      <c r="F24" s="15">
        <f>INDEX(数值规划表!$H$16:$J$122,MATCH(卡牌图鉴!E24,数值规划表!$F$16:$F$21,0),1)</f>
        <v>1</v>
      </c>
      <c r="G24" s="15">
        <f>INDEX(数值规划表!$H$16:$J$21,MATCH(卡牌图鉴!E24,数值规划表!$F$16:$F$21,0),2)</f>
        <v>1</v>
      </c>
      <c r="H24" s="15">
        <f>INDEX(数值规划表!$J$16:$J$21,MATCH(卡牌图鉴!E24,数值规划表!$F$16:$F$21,0))</f>
        <v>1.4</v>
      </c>
      <c r="I24" s="8" t="s">
        <v>131</v>
      </c>
      <c r="J24" s="15">
        <f>INDEX(数值规划表!$B$7:$J$7,MATCH(卡牌图鉴!I24,数值规划表!$B$4:$J$4,0))</f>
        <v>5</v>
      </c>
      <c r="K24" s="4">
        <v>5</v>
      </c>
      <c r="L24" s="12">
        <v>5</v>
      </c>
      <c r="M24" s="15">
        <f>INDEX(数值规划表!$E$45:$M$54,MATCH(卡牌图鉴!K24,数值规划表!$A$45:$A$54,0),MATCH(卡牌图鉴!I24,数值规划表!$E$44:$M$44,0))</f>
        <v>57.96</v>
      </c>
      <c r="N24" s="15">
        <f>INDEX(数值规划表!$N$45:$V$54,MATCH(卡牌图鉴!K24,数值规划表!$A$45:$A$54,0),MATCH(卡牌图鉴!I24,数值规划表!$E$44:$M$44,0))</f>
        <v>261.49</v>
      </c>
      <c r="O24" s="8">
        <v>3</v>
      </c>
      <c r="P24" s="15">
        <f>INDEX(数值规划表!$B$32:$F$33,2,卡牌图鉴!O24)</f>
        <v>0.6</v>
      </c>
      <c r="Q24" s="15">
        <f>INDEX(数值规划表!$B$32:$F$33,1,卡牌图鉴!O24)</f>
        <v>0.4</v>
      </c>
      <c r="R24" s="4" t="s">
        <v>35</v>
      </c>
      <c r="S24" s="12">
        <v>4</v>
      </c>
      <c r="T24" s="15">
        <f>INDEX(名称表!$B$4:$B$7,MATCH(卡牌图鉴!R24,品质名称,0))</f>
        <v>4</v>
      </c>
      <c r="U24" s="15">
        <f>INDEX(数值规划表!$L$30:$M$33,MATCH(卡牌图鉴!R24,品质名称,0),2)</f>
        <v>1.5</v>
      </c>
      <c r="V24" s="15">
        <f>INDEX(数值规划表!$L$30:$M$33,MATCH(卡牌图鉴!R24,数值规划表!$K$30:$K$33,0),1)</f>
        <v>1.5</v>
      </c>
      <c r="W24" s="12">
        <v>1</v>
      </c>
      <c r="X24" s="12">
        <v>0.85</v>
      </c>
      <c r="Y24" s="12">
        <v>1</v>
      </c>
      <c r="Z24" s="12">
        <v>1</v>
      </c>
      <c r="AA24" s="15">
        <f t="shared" si="1"/>
        <v>52.16</v>
      </c>
      <c r="AB24" s="15">
        <f t="shared" si="2"/>
        <v>133.36000000000001</v>
      </c>
      <c r="AC24" s="12" t="s">
        <v>1930</v>
      </c>
      <c r="AD24" s="15">
        <f t="shared" si="0"/>
        <v>8</v>
      </c>
      <c r="AE24" s="12"/>
      <c r="AF24" s="12">
        <f>INDEX(产销规划表!$B$20:$F$20,1,卡牌图鉴!S24)</f>
        <v>55</v>
      </c>
      <c r="AG24" s="4"/>
      <c r="AH24" s="8" t="s">
        <v>2344</v>
      </c>
      <c r="AI24" s="4"/>
      <c r="AJ24" s="4"/>
      <c r="AK24" s="4"/>
      <c r="AL24" s="4"/>
    </row>
    <row r="25" spans="1:38" s="70" customFormat="1" ht="99.95" customHeight="1" x14ac:dyDescent="0.15">
      <c r="A25" s="8">
        <v>4</v>
      </c>
      <c r="B25" s="8" t="s">
        <v>2351</v>
      </c>
      <c r="C25" s="8">
        <v>1440</v>
      </c>
      <c r="D25" s="12"/>
      <c r="E25" s="12" t="s">
        <v>2352</v>
      </c>
      <c r="F25" s="15">
        <f>INDEX(数值规划表!$H$16:$J$122,MATCH(卡牌图鉴!E25,数值规划表!$F$16:$F$21,0),1)</f>
        <v>1.32</v>
      </c>
      <c r="G25" s="15">
        <f>INDEX(数值规划表!$H$16:$J$21,MATCH(卡牌图鉴!E25,数值规划表!$F$16:$F$21,0),2)</f>
        <v>1.32</v>
      </c>
      <c r="H25" s="15">
        <f>INDEX(数值规划表!$J$16:$J$21,MATCH(卡牌图鉴!E25,数值规划表!$F$16:$F$21,0))</f>
        <v>0</v>
      </c>
      <c r="I25" s="8" t="s">
        <v>131</v>
      </c>
      <c r="J25" s="15">
        <f>INDEX(数值规划表!$B$7:$J$7,MATCH(卡牌图鉴!I25,数值规划表!$B$4:$J$4,0))</f>
        <v>5</v>
      </c>
      <c r="K25" s="12">
        <v>5</v>
      </c>
      <c r="L25" s="12">
        <v>10</v>
      </c>
      <c r="M25" s="15">
        <f>INDEX(数值规划表!$E$45:$M$54,MATCH(卡牌图鉴!K25,数值规划表!$A$45:$A$54,0),MATCH(卡牌图鉴!I25,数值规划表!$E$44:$M$44,0))</f>
        <v>57.96</v>
      </c>
      <c r="N25" s="15">
        <f>INDEX(数值规划表!$N$45:$V$54,MATCH(卡牌图鉴!K25,数值规划表!$A$45:$A$54,0),MATCH(卡牌图鉴!I25,数值规划表!$E$44:$M$44,0))</f>
        <v>261.49</v>
      </c>
      <c r="O25" s="8">
        <v>3</v>
      </c>
      <c r="P25" s="15">
        <f>INDEX(数值规划表!$B$32:$F$33,2,卡牌图鉴!O25)</f>
        <v>0.6</v>
      </c>
      <c r="Q25" s="15">
        <f>INDEX(数值规划表!$B$32:$F$33,1,卡牌图鉴!O25)</f>
        <v>0.4</v>
      </c>
      <c r="R25" s="12" t="s">
        <v>35</v>
      </c>
      <c r="S25" s="12">
        <v>4</v>
      </c>
      <c r="T25" s="15">
        <f>INDEX(名称表!$B$4:$B$7,MATCH(卡牌图鉴!R25,品质名称,0))</f>
        <v>4</v>
      </c>
      <c r="U25" s="15">
        <f>INDEX(数值规划表!$L$30:$M$33,MATCH(卡牌图鉴!R25,品质名称,0),2)</f>
        <v>1.5</v>
      </c>
      <c r="V25" s="15">
        <f>INDEX(数值规划表!$L$30:$M$33,MATCH(卡牌图鉴!R25,数值规划表!$K$30:$K$33,0),1)</f>
        <v>1.5</v>
      </c>
      <c r="W25" s="12">
        <v>1</v>
      </c>
      <c r="X25" s="8">
        <v>1</v>
      </c>
      <c r="Y25" s="12">
        <v>1</v>
      </c>
      <c r="Z25" s="12">
        <v>1</v>
      </c>
      <c r="AA25" s="15">
        <f t="shared" si="1"/>
        <v>68.86</v>
      </c>
      <c r="AB25" s="15">
        <f t="shared" si="2"/>
        <v>207.1</v>
      </c>
      <c r="AC25" s="12" t="s">
        <v>1930</v>
      </c>
      <c r="AD25" s="15">
        <f t="shared" si="0"/>
        <v>8</v>
      </c>
      <c r="AE25" s="12"/>
      <c r="AF25" s="12"/>
      <c r="AG25" s="12"/>
      <c r="AH25" s="8"/>
      <c r="AI25" s="12"/>
      <c r="AJ25" s="12"/>
      <c r="AK25" s="12"/>
      <c r="AL25" s="12"/>
    </row>
    <row r="26" spans="1:38" ht="99.95" customHeight="1" x14ac:dyDescent="0.15">
      <c r="A26" s="8">
        <v>5</v>
      </c>
      <c r="B26" s="8" t="s">
        <v>28</v>
      </c>
      <c r="C26" s="8">
        <v>1056</v>
      </c>
      <c r="D26" s="4"/>
      <c r="E26" s="4" t="s">
        <v>53</v>
      </c>
      <c r="F26" s="15">
        <f>INDEX(数值规划表!$H$16:$J$122,MATCH(卡牌图鉴!E26,数值规划表!$F$16:$F$21,0),1)</f>
        <v>0.92</v>
      </c>
      <c r="G26" s="15">
        <f>INDEX(数值规划表!$H$16:$J$21,MATCH(卡牌图鉴!E26,数值规划表!$F$16:$F$21,0),2)</f>
        <v>0.92</v>
      </c>
      <c r="H26" s="15">
        <f>INDEX(数值规划表!$J$16:$J$21,MATCH(卡牌图鉴!E26,数值规划表!$F$16:$F$21,0))</f>
        <v>2</v>
      </c>
      <c r="I26" s="8" t="s">
        <v>1341</v>
      </c>
      <c r="J26" s="12">
        <v>1.5</v>
      </c>
      <c r="K26" s="4">
        <v>2</v>
      </c>
      <c r="L26" s="12">
        <v>2</v>
      </c>
      <c r="M26" s="15">
        <f>INDEX(数值规划表!$E$45:$M$54,MATCH(卡牌图鉴!K26,数值规划表!$A$45:$A$54,0),MATCH(卡牌图鉴!I26,数值规划表!$E$44:$M$44,0))</f>
        <v>35.28</v>
      </c>
      <c r="N26" s="15">
        <f>INDEX(数值规划表!$N$45:$V$54,MATCH(卡牌图鉴!K26,数值规划表!$A$45:$A$54,0),MATCH(卡牌图鉴!I26,数值规划表!$E$44:$M$44,0))</f>
        <v>149.29</v>
      </c>
      <c r="O26" s="8">
        <v>1</v>
      </c>
      <c r="P26" s="15">
        <f>INDEX(数值规划表!$B$32:$F$33,2,卡牌图鉴!O26)</f>
        <v>1</v>
      </c>
      <c r="Q26" s="15">
        <f>INDEX(数值规划表!$B$32:$F$33,1,卡牌图鉴!O26)</f>
        <v>1</v>
      </c>
      <c r="R26" s="4" t="s">
        <v>36</v>
      </c>
      <c r="S26" s="12">
        <v>1</v>
      </c>
      <c r="T26" s="15">
        <f>INDEX(名称表!$B$4:$B$7,MATCH(卡牌图鉴!R26,品质名称,0))</f>
        <v>1</v>
      </c>
      <c r="U26" s="15">
        <f>INDEX(数值规划表!$L$30:$M$33,MATCH(卡牌图鉴!R26,品质名称,0),2)</f>
        <v>1</v>
      </c>
      <c r="V26" s="15">
        <f>INDEX(数值规划表!$L$30:$M$33,MATCH(卡牌图鉴!R26,数值规划表!$K$30:$K$33,0),1)</f>
        <v>1</v>
      </c>
      <c r="W26" s="12">
        <v>1.1000000000000001</v>
      </c>
      <c r="X26" s="12">
        <v>1.1000000000000001</v>
      </c>
      <c r="Y26" s="12">
        <v>1</v>
      </c>
      <c r="Z26" s="12">
        <v>1</v>
      </c>
      <c r="AA26" s="15">
        <f t="shared" si="1"/>
        <v>35.700000000000003</v>
      </c>
      <c r="AB26" s="15">
        <f t="shared" si="2"/>
        <v>151.08000000000001</v>
      </c>
      <c r="AC26" s="12" t="s">
        <v>1959</v>
      </c>
      <c r="AD26" s="15">
        <f t="shared" si="0"/>
        <v>5</v>
      </c>
      <c r="AE26" s="12"/>
      <c r="AF26" s="12">
        <f>INDEX(产销规划表!$B$20:$F$20,1,卡牌图鉴!S26)</f>
        <v>505</v>
      </c>
      <c r="AG26" s="4"/>
      <c r="AH26" s="8" t="s">
        <v>2404</v>
      </c>
      <c r="AI26" s="4"/>
      <c r="AJ26" s="4"/>
      <c r="AK26" s="4"/>
      <c r="AL26" s="4"/>
    </row>
    <row r="27" spans="1:38" ht="99.95" customHeight="1" x14ac:dyDescent="0.15">
      <c r="A27" s="8">
        <v>5</v>
      </c>
      <c r="B27" s="8" t="s">
        <v>33</v>
      </c>
      <c r="C27" s="8">
        <v>1067</v>
      </c>
      <c r="D27" s="4"/>
      <c r="E27" s="4" t="s">
        <v>53</v>
      </c>
      <c r="F27" s="15">
        <f>INDEX(数值规划表!$H$16:$J$122,MATCH(卡牌图鉴!E27,数值规划表!$F$16:$F$21,0),1)</f>
        <v>0.92</v>
      </c>
      <c r="G27" s="15">
        <f>INDEX(数值规划表!$H$16:$J$21,MATCH(卡牌图鉴!E27,数值规划表!$F$16:$F$21,0),2)</f>
        <v>0.92</v>
      </c>
      <c r="H27" s="15">
        <f>INDEX(数值规划表!$J$16:$J$21,MATCH(卡牌图鉴!E27,数值规划表!$F$16:$F$21,0))</f>
        <v>2</v>
      </c>
      <c r="I27" s="4" t="s">
        <v>90</v>
      </c>
      <c r="J27" s="15">
        <f>INDEX(数值规划表!$B$7:$J$7,MATCH(卡牌图鉴!I27,数值规划表!$B$4:$J$4,0))</f>
        <v>1.2</v>
      </c>
      <c r="K27" s="4">
        <v>4</v>
      </c>
      <c r="L27" s="12">
        <v>4</v>
      </c>
      <c r="M27" s="15">
        <f>INDEX(数值规划表!$E$45:$M$54,MATCH(卡牌图鉴!K27,数值规划表!$A$45:$A$54,0),MATCH(卡牌图鉴!I27,数值规划表!$E$44:$M$44,0))</f>
        <v>76.11</v>
      </c>
      <c r="N27" s="15">
        <f>INDEX(数值规划表!$N$45:$V$54,MATCH(卡牌图鉴!K27,数值规划表!$A$45:$A$54,0),MATCH(卡牌图鉴!I27,数值规划表!$E$44:$M$44,0))</f>
        <v>351.29</v>
      </c>
      <c r="O27" s="8">
        <v>3</v>
      </c>
      <c r="P27" s="15">
        <f>INDEX(数值规划表!$B$32:$F$33,2,卡牌图鉴!O27)</f>
        <v>0.6</v>
      </c>
      <c r="Q27" s="15">
        <f>INDEX(数值规划表!$B$32:$F$33,1,卡牌图鉴!O27)</f>
        <v>0.4</v>
      </c>
      <c r="R27" s="4" t="s">
        <v>36</v>
      </c>
      <c r="S27" s="12">
        <v>1</v>
      </c>
      <c r="T27" s="15">
        <f>INDEX(名称表!$B$4:$B$7,MATCH(卡牌图鉴!R27,品质名称,0))</f>
        <v>1</v>
      </c>
      <c r="U27" s="15">
        <f>INDEX(数值规划表!$L$30:$M$33,MATCH(卡牌图鉴!R27,品质名称,0),2)</f>
        <v>1</v>
      </c>
      <c r="V27" s="15">
        <f>INDEX(数值规划表!$L$30:$M$33,MATCH(卡牌图鉴!R27,数值规划表!$K$30:$K$33,0),1)</f>
        <v>1</v>
      </c>
      <c r="W27" s="12">
        <v>1</v>
      </c>
      <c r="X27" s="12">
        <v>0.5</v>
      </c>
      <c r="Y27" s="12">
        <v>1</v>
      </c>
      <c r="Z27" s="12">
        <v>1</v>
      </c>
      <c r="AA27" s="15">
        <f t="shared" si="1"/>
        <v>42.01</v>
      </c>
      <c r="AB27" s="15">
        <f t="shared" si="2"/>
        <v>64.64</v>
      </c>
      <c r="AC27" s="12" t="s">
        <v>1930</v>
      </c>
      <c r="AD27" s="15">
        <f t="shared" ref="AD27:AD64" si="3">INDEX(寻敌范围值,MATCH(AC27,寻敌范围,0))</f>
        <v>8</v>
      </c>
      <c r="AE27" s="12"/>
      <c r="AF27" s="12">
        <f>INDEX(产销规划表!$B$20:$F$20,1,卡牌图鉴!S27)</f>
        <v>505</v>
      </c>
      <c r="AG27" s="4"/>
      <c r="AH27" s="8" t="s">
        <v>2440</v>
      </c>
      <c r="AI27" s="4"/>
      <c r="AJ27" s="4"/>
      <c r="AK27" s="4"/>
      <c r="AL27" s="4"/>
    </row>
    <row r="28" spans="1:38" ht="99.95" customHeight="1" x14ac:dyDescent="0.15">
      <c r="A28" s="8">
        <v>5</v>
      </c>
      <c r="B28" s="8" t="s">
        <v>29</v>
      </c>
      <c r="C28" s="8">
        <v>1450</v>
      </c>
      <c r="D28" s="4"/>
      <c r="E28" s="4" t="s">
        <v>51</v>
      </c>
      <c r="F28" s="15">
        <f>INDEX(数值规划表!$H$16:$J$122,MATCH(卡牌图鉴!E28,数值规划表!$F$16:$F$21,0),1)</f>
        <v>1</v>
      </c>
      <c r="G28" s="15">
        <f>INDEX(数值规划表!$H$16:$J$21,MATCH(卡牌图鉴!E28,数值规划表!$F$16:$F$21,0),2)</f>
        <v>1</v>
      </c>
      <c r="H28" s="15">
        <f>INDEX(数值规划表!$J$16:$J$21,MATCH(卡牌图鉴!E28,数值规划表!$F$16:$F$21,0))</f>
        <v>1.4</v>
      </c>
      <c r="I28" s="8" t="s">
        <v>131</v>
      </c>
      <c r="J28" s="15">
        <f>INDEX(数值规划表!$B$7:$J$7,MATCH(卡牌图鉴!I28,数值规划表!$B$4:$J$4,0))</f>
        <v>5</v>
      </c>
      <c r="K28" s="4">
        <v>3</v>
      </c>
      <c r="L28" s="12">
        <v>3</v>
      </c>
      <c r="M28" s="15">
        <f>INDEX(数值规划表!$E$45:$M$54,MATCH(卡牌图鉴!K28,数值规划表!$A$45:$A$54,0),MATCH(卡牌图鉴!I28,数值规划表!$E$44:$M$44,0))</f>
        <v>47.15</v>
      </c>
      <c r="N28" s="15">
        <f>INDEX(数值规划表!$N$45:$V$54,MATCH(卡牌图鉴!K28,数值规划表!$A$45:$A$54,0),MATCH(卡牌图鉴!I28,数值规划表!$E$44:$M$44,0))</f>
        <v>163.62</v>
      </c>
      <c r="O28" s="8">
        <v>1</v>
      </c>
      <c r="P28" s="15">
        <f>INDEX(数值规划表!$B$32:$F$33,2,卡牌图鉴!O28)</f>
        <v>1</v>
      </c>
      <c r="Q28" s="15">
        <f>INDEX(数值规划表!$B$32:$F$33,1,卡牌图鉴!O28)</f>
        <v>1</v>
      </c>
      <c r="R28" s="4" t="s">
        <v>13</v>
      </c>
      <c r="S28" s="12">
        <v>3</v>
      </c>
      <c r="T28" s="15">
        <f>INDEX(名称表!$B$4:$B$7,MATCH(卡牌图鉴!R28,品质名称,0))</f>
        <v>3</v>
      </c>
      <c r="U28" s="15">
        <f>INDEX(数值规划表!$L$30:$M$33,MATCH(卡牌图鉴!R28,品质名称,0),2)</f>
        <v>1.25</v>
      </c>
      <c r="V28" s="15">
        <f>INDEX(数值规划表!$L$30:$M$33,MATCH(卡牌图鉴!R28,数值规划表!$K$30:$K$33,0),1)</f>
        <v>1.25</v>
      </c>
      <c r="W28" s="12">
        <v>1</v>
      </c>
      <c r="X28" s="12">
        <v>1</v>
      </c>
      <c r="Y28" s="12">
        <v>1</v>
      </c>
      <c r="Z28" s="12">
        <v>1</v>
      </c>
      <c r="AA28" s="15">
        <f t="shared" si="1"/>
        <v>58.94</v>
      </c>
      <c r="AB28" s="15">
        <f t="shared" si="2"/>
        <v>204.53</v>
      </c>
      <c r="AC28" s="12" t="s">
        <v>1930</v>
      </c>
      <c r="AD28" s="15">
        <f t="shared" si="3"/>
        <v>8</v>
      </c>
      <c r="AE28" s="12"/>
      <c r="AF28" s="12">
        <f>INDEX(产销规划表!$B$20:$F$20,1,卡牌图鉴!S28)</f>
        <v>185</v>
      </c>
      <c r="AG28" s="4"/>
      <c r="AH28" s="4"/>
      <c r="AI28" s="4"/>
      <c r="AJ28" s="4"/>
      <c r="AK28" s="4"/>
      <c r="AL28" s="4"/>
    </row>
    <row r="29" spans="1:38" ht="99.95" customHeight="1" x14ac:dyDescent="0.15">
      <c r="A29" s="8">
        <v>5</v>
      </c>
      <c r="B29" s="8" t="s">
        <v>31</v>
      </c>
      <c r="C29" s="8">
        <v>1272</v>
      </c>
      <c r="D29" s="4"/>
      <c r="E29" s="4" t="s">
        <v>51</v>
      </c>
      <c r="F29" s="15">
        <f>INDEX(数值规划表!$H$16:$J$122,MATCH(卡牌图鉴!E29,数值规划表!$F$16:$F$21,0),1)</f>
        <v>1</v>
      </c>
      <c r="G29" s="15">
        <f>INDEX(数值规划表!$H$16:$J$21,MATCH(卡牌图鉴!E29,数值规划表!$F$16:$F$21,0),2)</f>
        <v>1</v>
      </c>
      <c r="H29" s="15">
        <f>INDEX(数值规划表!$J$16:$J$21,MATCH(卡牌图鉴!E29,数值规划表!$F$16:$F$21,0))</f>
        <v>1.4</v>
      </c>
      <c r="I29" s="8" t="s">
        <v>85</v>
      </c>
      <c r="J29" s="15">
        <f>INDEX(数值规划表!$B$7:$J$7,MATCH(卡牌图鉴!I29,数值规划表!$B$4:$J$4,0))</f>
        <v>1.2</v>
      </c>
      <c r="K29" s="4">
        <v>5</v>
      </c>
      <c r="L29" s="12">
        <v>6</v>
      </c>
      <c r="M29" s="15">
        <f>INDEX(数值规划表!$E$45:$M$54,MATCH(卡牌图鉴!K29,数值规划表!$A$45:$A$54,0),MATCH(卡牌图鉴!I29,数值规划表!$E$44:$M$44,0))</f>
        <v>63.64</v>
      </c>
      <c r="N29" s="15">
        <f>INDEX(数值规划表!$N$45:$V$54,MATCH(卡牌图鉴!K29,数值规划表!$A$45:$A$54,0),MATCH(卡牌图鉴!I29,数值规划表!$E$44:$M$44,0))</f>
        <v>579.12</v>
      </c>
      <c r="O29" s="8">
        <v>1</v>
      </c>
      <c r="P29" s="15">
        <f>INDEX(数值规划表!$B$32:$F$33,2,卡牌图鉴!O29)</f>
        <v>1</v>
      </c>
      <c r="Q29" s="15">
        <f>INDEX(数值规划表!$B$32:$F$33,1,卡牌图鉴!O29)</f>
        <v>1</v>
      </c>
      <c r="R29" s="4" t="s">
        <v>13</v>
      </c>
      <c r="S29" s="12">
        <v>3</v>
      </c>
      <c r="T29" s="15">
        <f>INDEX(名称表!$B$4:$B$7,MATCH(卡牌图鉴!R29,品质名称,0))</f>
        <v>3</v>
      </c>
      <c r="U29" s="15">
        <f>INDEX(数值规划表!$L$30:$M$33,MATCH(卡牌图鉴!R29,品质名称,0),2)</f>
        <v>1.25</v>
      </c>
      <c r="V29" s="15">
        <f>INDEX(数值规划表!$L$30:$M$33,MATCH(卡牌图鉴!R29,数值规划表!$K$30:$K$33,0),1)</f>
        <v>1.25</v>
      </c>
      <c r="W29" s="12">
        <v>0.6</v>
      </c>
      <c r="X29" s="12">
        <v>0.85</v>
      </c>
      <c r="Y29" s="12">
        <v>1</v>
      </c>
      <c r="Z29" s="12">
        <v>1</v>
      </c>
      <c r="AA29" s="15">
        <f t="shared" si="1"/>
        <v>47.73</v>
      </c>
      <c r="AB29" s="15">
        <f t="shared" si="2"/>
        <v>615.32000000000005</v>
      </c>
      <c r="AC29" s="12" t="s">
        <v>1930</v>
      </c>
      <c r="AD29" s="15">
        <f t="shared" si="3"/>
        <v>8</v>
      </c>
      <c r="AE29" s="12"/>
      <c r="AF29" s="12">
        <f>INDEX(产销规划表!$B$20:$F$20,1,卡牌图鉴!S29)</f>
        <v>185</v>
      </c>
      <c r="AG29" s="4"/>
      <c r="AH29" s="4"/>
      <c r="AI29" s="4"/>
      <c r="AJ29" s="4"/>
      <c r="AK29" s="4"/>
      <c r="AL29" s="4"/>
    </row>
    <row r="30" spans="1:38" ht="99.95" customHeight="1" x14ac:dyDescent="0.15">
      <c r="A30" s="8"/>
      <c r="B30" s="8" t="s">
        <v>1350</v>
      </c>
      <c r="C30" s="8">
        <v>1283</v>
      </c>
      <c r="D30" s="12"/>
      <c r="E30" s="12" t="s">
        <v>49</v>
      </c>
      <c r="F30" s="15">
        <f>INDEX(数值规划表!$H$16:$J$122,MATCH(卡牌图鉴!E30,数值规划表!$F$16:$F$21,0),1)</f>
        <v>1.22</v>
      </c>
      <c r="G30" s="15">
        <f>INDEX(数值规划表!$H$16:$J$21,MATCH(卡牌图鉴!E30,数值规划表!$F$16:$F$21,0),2)</f>
        <v>1.22</v>
      </c>
      <c r="H30" s="15">
        <f>INDEX(数值规划表!$J$16:$J$21,MATCH(卡牌图鉴!E30,数值规划表!$F$16:$F$21,0))</f>
        <v>0.8</v>
      </c>
      <c r="I30" s="8" t="s">
        <v>85</v>
      </c>
      <c r="J30" s="15">
        <f>INDEX(数值规划表!$B$7:$J$7,MATCH(卡牌图鉴!I30,数值规划表!$B$4:$J$4,0))</f>
        <v>1.2</v>
      </c>
      <c r="K30" s="12">
        <v>5</v>
      </c>
      <c r="L30" s="12">
        <v>6</v>
      </c>
      <c r="M30" s="15">
        <f>INDEX(数值规划表!$E$45:$M$54,MATCH(卡牌图鉴!K30,数值规划表!$A$45:$A$54,0),MATCH(卡牌图鉴!I30,数值规划表!$E$44:$M$44,0))</f>
        <v>63.64</v>
      </c>
      <c r="N30" s="15">
        <f>INDEX(数值规划表!$N$45:$V$54,MATCH(卡牌图鉴!K30,数值规划表!$A$45:$A$54,0),MATCH(卡牌图鉴!I30,数值规划表!$E$44:$M$44,0))</f>
        <v>579.12</v>
      </c>
      <c r="O30" s="8">
        <v>1</v>
      </c>
      <c r="P30" s="15">
        <f>INDEX(数值规划表!$B$32:$F$33,2,卡牌图鉴!O30)</f>
        <v>1</v>
      </c>
      <c r="Q30" s="15">
        <f>INDEX(数值规划表!$B$32:$F$33,1,卡牌图鉴!O30)</f>
        <v>1</v>
      </c>
      <c r="R30" s="12" t="s">
        <v>13</v>
      </c>
      <c r="S30" s="12">
        <v>3</v>
      </c>
      <c r="T30" s="15">
        <f>INDEX(名称表!$B$4:$B$7,MATCH(卡牌图鉴!R30,品质名称,0))</f>
        <v>3</v>
      </c>
      <c r="U30" s="15">
        <f>INDEX(数值规划表!$L$30:$M$33,MATCH(卡牌图鉴!R30,品质名称,0),2)</f>
        <v>1.25</v>
      </c>
      <c r="V30" s="15">
        <f>INDEX(数值规划表!$L$30:$M$33,MATCH(卡牌图鉴!R30,数值规划表!$K$30:$K$33,0),1)</f>
        <v>1.25</v>
      </c>
      <c r="W30" s="12">
        <v>1.25</v>
      </c>
      <c r="X30" s="12">
        <v>1</v>
      </c>
      <c r="Y30" s="12">
        <v>1</v>
      </c>
      <c r="Z30" s="12">
        <v>1</v>
      </c>
      <c r="AA30" s="15">
        <f t="shared" si="1"/>
        <v>121.31</v>
      </c>
      <c r="AB30" s="15">
        <f t="shared" si="2"/>
        <v>883.16</v>
      </c>
      <c r="AC30" s="12" t="s">
        <v>1930</v>
      </c>
      <c r="AD30" s="15">
        <f t="shared" si="3"/>
        <v>8</v>
      </c>
      <c r="AE30" s="12"/>
      <c r="AF30" s="12">
        <f>INDEX(产销规划表!$B$20:$F$20,1,卡牌图鉴!S30)</f>
        <v>185</v>
      </c>
      <c r="AG30" s="12"/>
      <c r="AH30" s="12"/>
      <c r="AI30" s="12"/>
      <c r="AJ30" s="12"/>
      <c r="AK30" s="12"/>
      <c r="AL30" s="12"/>
    </row>
    <row r="31" spans="1:38" ht="99.95" customHeight="1" x14ac:dyDescent="0.15">
      <c r="A31" s="8">
        <v>4</v>
      </c>
      <c r="B31" s="8" t="s">
        <v>22</v>
      </c>
      <c r="C31" s="8">
        <v>1340</v>
      </c>
      <c r="D31" s="4"/>
      <c r="E31" s="4" t="s">
        <v>2658</v>
      </c>
      <c r="F31" s="15">
        <f>INDEX(数值规划表!$H$16:$J$122,MATCH(卡牌图鉴!E31,数值规划表!$F$16:$F$21,0),1)</f>
        <v>1.1200000000000001</v>
      </c>
      <c r="G31" s="15">
        <f>INDEX(数值规划表!$H$16:$J$21,MATCH(卡牌图鉴!E31,数值规划表!$F$16:$F$21,0),2)</f>
        <v>1.1200000000000001</v>
      </c>
      <c r="H31" s="15">
        <f>INDEX(数值规划表!$J$16:$J$21,MATCH(卡牌图鉴!E31,数值规划表!$F$16:$F$21,0))</f>
        <v>1.1000000000000001</v>
      </c>
      <c r="I31" s="8" t="s">
        <v>131</v>
      </c>
      <c r="J31" s="15">
        <f>INDEX(数值规划表!$B$7:$J$7,MATCH(卡牌图鉴!I31,数值规划表!$B$4:$J$4,0))</f>
        <v>5</v>
      </c>
      <c r="K31" s="4">
        <v>6</v>
      </c>
      <c r="L31" s="12">
        <v>6</v>
      </c>
      <c r="M31" s="15">
        <f>INDEX(数值规划表!$E$45:$M$54,MATCH(卡牌图鉴!K31,数值规划表!$A$45:$A$54,0),MATCH(卡牌图鉴!I31,数值规划表!$E$44:$M$44,0))</f>
        <v>61.91</v>
      </c>
      <c r="N31" s="15">
        <f>INDEX(数值规划表!$N$45:$V$54,MATCH(卡牌图鉴!K31,数值规划表!$A$45:$A$54,0),MATCH(卡牌图鉴!I31,数值规划表!$E$44:$M$44,0))</f>
        <v>311.52999999999997</v>
      </c>
      <c r="O31" s="8">
        <v>1</v>
      </c>
      <c r="P31" s="15">
        <f>INDEX(数值规划表!$B$32:$F$33,2,卡牌图鉴!O31)</f>
        <v>1</v>
      </c>
      <c r="Q31" s="15">
        <f>INDEX(数值规划表!$B$32:$F$33,1,卡牌图鉴!O31)</f>
        <v>1</v>
      </c>
      <c r="R31" s="4" t="s">
        <v>35</v>
      </c>
      <c r="S31" s="12">
        <v>4</v>
      </c>
      <c r="T31" s="15">
        <f>INDEX(名称表!$B$4:$B$7,MATCH(卡牌图鉴!R31,品质名称,0))</f>
        <v>4</v>
      </c>
      <c r="U31" s="15">
        <f>INDEX(数值规划表!$L$30:$M$33,MATCH(卡牌图鉴!R31,品质名称,0),2)</f>
        <v>1.5</v>
      </c>
      <c r="V31" s="15">
        <f>INDEX(数值规划表!$L$30:$M$33,MATCH(卡牌图鉴!R31,数值规划表!$K$30:$K$33,0),1)</f>
        <v>1.5</v>
      </c>
      <c r="W31" s="12">
        <v>0.7</v>
      </c>
      <c r="X31" s="12">
        <v>0.47</v>
      </c>
      <c r="Y31" s="12">
        <v>1</v>
      </c>
      <c r="Z31" s="12">
        <v>1</v>
      </c>
      <c r="AA31" s="15">
        <f t="shared" si="1"/>
        <v>72.81</v>
      </c>
      <c r="AB31" s="15">
        <f t="shared" si="2"/>
        <v>245.98</v>
      </c>
      <c r="AC31" s="12" t="s">
        <v>1953</v>
      </c>
      <c r="AD31" s="15">
        <f t="shared" si="3"/>
        <v>6</v>
      </c>
      <c r="AE31" s="12"/>
      <c r="AF31" s="12">
        <f>INDEX(产销规划表!$B$20:$F$20,1,卡牌图鉴!S31)</f>
        <v>55</v>
      </c>
      <c r="AG31" s="4"/>
      <c r="AH31" s="4"/>
      <c r="AI31" s="4"/>
      <c r="AJ31" s="4"/>
      <c r="AK31" s="4"/>
      <c r="AL31" s="4"/>
    </row>
    <row r="32" spans="1:38" ht="99.95" customHeight="1" x14ac:dyDescent="0.15">
      <c r="A32" s="8"/>
      <c r="B32" s="8" t="s">
        <v>608</v>
      </c>
      <c r="C32" s="8">
        <v>1362</v>
      </c>
      <c r="D32" s="12"/>
      <c r="E32" s="12" t="s">
        <v>2658</v>
      </c>
      <c r="F32" s="15">
        <f>INDEX(数值规划表!$H$16:$J$122,MATCH(卡牌图鉴!E32,数值规划表!$F$16:$F$21,0),1)</f>
        <v>1.1200000000000001</v>
      </c>
      <c r="G32" s="15">
        <f>INDEX(数值规划表!$H$16:$J$21,MATCH(卡牌图鉴!E32,数值规划表!$F$16:$F$21,0),2)</f>
        <v>1.1200000000000001</v>
      </c>
      <c r="H32" s="15">
        <f>INDEX(数值规划表!$J$16:$J$21,MATCH(卡牌图鉴!E32,数值规划表!$F$16:$F$21,0))</f>
        <v>1.1000000000000001</v>
      </c>
      <c r="I32" s="8" t="s">
        <v>85</v>
      </c>
      <c r="J32" s="15">
        <f>INDEX(数值规划表!$B$7:$J$7,MATCH(卡牌图鉴!I32,数值规划表!$B$4:$J$4,0))</f>
        <v>1.2</v>
      </c>
      <c r="K32" s="12">
        <v>5</v>
      </c>
      <c r="L32" s="12">
        <v>5</v>
      </c>
      <c r="M32" s="15">
        <f>INDEX(数值规划表!$E$45:$M$54,MATCH(卡牌图鉴!K32,数值规划表!$A$45:$A$54,0),MATCH(卡牌图鉴!I32,数值规划表!$E$44:$M$44,0))</f>
        <v>63.64</v>
      </c>
      <c r="N32" s="15">
        <f>INDEX(数值规划表!$N$45:$V$54,MATCH(卡牌图鉴!K32,数值规划表!$A$45:$A$54,0),MATCH(卡牌图鉴!I32,数值规划表!$E$44:$M$44,0))</f>
        <v>579.12</v>
      </c>
      <c r="O32" s="8">
        <v>1</v>
      </c>
      <c r="P32" s="15">
        <f>INDEX(数值规划表!$B$32:$F$33,2,卡牌图鉴!O32)</f>
        <v>1</v>
      </c>
      <c r="Q32" s="15">
        <f>INDEX(数值规划表!$B$32:$F$33,1,卡牌图鉴!O32)</f>
        <v>1</v>
      </c>
      <c r="R32" s="12" t="s">
        <v>35</v>
      </c>
      <c r="S32" s="12">
        <v>4</v>
      </c>
      <c r="T32" s="15">
        <f>INDEX(名称表!$B$4:$B$7,MATCH(卡牌图鉴!R32,品质名称,0))</f>
        <v>4</v>
      </c>
      <c r="U32" s="15">
        <f>INDEX(数值规划表!$L$30:$M$33,MATCH(卡牌图鉴!R32,品质名称,0),2)</f>
        <v>1.5</v>
      </c>
      <c r="V32" s="15">
        <f>INDEX(数值规划表!$L$30:$M$33,MATCH(卡牌图鉴!R32,数值规划表!$K$30:$K$33,0),1)</f>
        <v>1.5</v>
      </c>
      <c r="W32" s="12">
        <v>1</v>
      </c>
      <c r="X32" s="12">
        <v>1</v>
      </c>
      <c r="Y32" s="12">
        <v>1</v>
      </c>
      <c r="Z32" s="12">
        <v>1</v>
      </c>
      <c r="AA32" s="15">
        <f t="shared" si="1"/>
        <v>106.92</v>
      </c>
      <c r="AB32" s="15">
        <f t="shared" si="2"/>
        <v>972.92</v>
      </c>
      <c r="AC32" s="12" t="s">
        <v>1930</v>
      </c>
      <c r="AD32" s="15">
        <f t="shared" si="3"/>
        <v>8</v>
      </c>
      <c r="AE32" s="12"/>
      <c r="AF32" s="12">
        <f>INDEX(产销规划表!$B$20:$F$20,1,卡牌图鉴!S32)</f>
        <v>55</v>
      </c>
      <c r="AG32" s="12"/>
      <c r="AH32" s="12"/>
      <c r="AI32" s="12"/>
      <c r="AJ32" s="12"/>
      <c r="AK32" s="12"/>
      <c r="AL32" s="12"/>
    </row>
    <row r="33" spans="1:38" ht="99.95" customHeight="1" x14ac:dyDescent="0.15">
      <c r="A33" s="8">
        <v>6</v>
      </c>
      <c r="B33" s="8" t="s">
        <v>1347</v>
      </c>
      <c r="C33" s="8">
        <v>1012</v>
      </c>
      <c r="D33" s="4"/>
      <c r="E33" s="4" t="s">
        <v>49</v>
      </c>
      <c r="F33" s="15">
        <f>INDEX(数值规划表!$H$16:$J$122,MATCH(卡牌图鉴!E33,数值规划表!$F$16:$F$21,0),1)</f>
        <v>1.22</v>
      </c>
      <c r="G33" s="15">
        <f>INDEX(数值规划表!$H$16:$J$21,MATCH(卡牌图鉴!E33,数值规划表!$F$16:$F$21,0),2)</f>
        <v>1.22</v>
      </c>
      <c r="H33" s="15">
        <f>INDEX(数值规划表!$J$16:$J$21,MATCH(卡牌图鉴!E33,数值规划表!$F$16:$F$21,0))</f>
        <v>0.8</v>
      </c>
      <c r="I33" s="8" t="s">
        <v>118</v>
      </c>
      <c r="J33" s="15">
        <f>INDEX(数值规划表!$B$7:$J$7,MATCH(卡牌图鉴!I33,数值规划表!$B$4:$J$4,0))</f>
        <v>4</v>
      </c>
      <c r="K33" s="4">
        <v>3</v>
      </c>
      <c r="L33" s="12">
        <v>3</v>
      </c>
      <c r="M33" s="15">
        <f>INDEX(数值规划表!$E$45:$M$54,MATCH(卡牌图鉴!K33,数值规划表!$A$45:$A$54,0),MATCH(卡牌图鉴!I33,数值规划表!$E$44:$M$44,0))</f>
        <v>50.84</v>
      </c>
      <c r="N33" s="15">
        <f>INDEX(数值规划表!$N$45:$V$54,MATCH(卡牌图鉴!K33,数值规划表!$A$45:$A$54,0),MATCH(卡牌图鉴!I33,数值规划表!$E$44:$M$44,0))</f>
        <v>202.45</v>
      </c>
      <c r="O33" s="8">
        <v>1</v>
      </c>
      <c r="P33" s="15">
        <f>INDEX(数值规划表!$B$32:$F$33,2,卡牌图鉴!O33)</f>
        <v>1</v>
      </c>
      <c r="Q33" s="15">
        <f>INDEX(数值规划表!$B$32:$F$33,1,卡牌图鉴!O33)</f>
        <v>1</v>
      </c>
      <c r="R33" s="4" t="s">
        <v>13</v>
      </c>
      <c r="S33" s="12">
        <v>3</v>
      </c>
      <c r="T33" s="15">
        <f>INDEX(名称表!$B$4:$B$7,MATCH(卡牌图鉴!R33,品质名称,0))</f>
        <v>3</v>
      </c>
      <c r="U33" s="15">
        <f>INDEX(数值规划表!$L$30:$M$33,MATCH(卡牌图鉴!R33,品质名称,0),2)</f>
        <v>1.25</v>
      </c>
      <c r="V33" s="15">
        <f>INDEX(数值规划表!$L$30:$M$33,MATCH(卡牌图鉴!R33,数值规划表!$K$30:$K$33,0),1)</f>
        <v>1.25</v>
      </c>
      <c r="W33" s="12">
        <v>0.35</v>
      </c>
      <c r="X33" s="12">
        <v>1.7</v>
      </c>
      <c r="Y33" s="12">
        <v>1</v>
      </c>
      <c r="Z33" s="12">
        <v>1</v>
      </c>
      <c r="AA33" s="15">
        <f t="shared" si="1"/>
        <v>27.14</v>
      </c>
      <c r="AB33" s="15">
        <f t="shared" si="2"/>
        <v>524.85</v>
      </c>
      <c r="AC33" s="12" t="s">
        <v>1953</v>
      </c>
      <c r="AD33" s="15">
        <f t="shared" si="3"/>
        <v>6</v>
      </c>
      <c r="AE33" s="12"/>
      <c r="AF33" s="12">
        <f>INDEX(产销规划表!$B$20:$F$20,1,卡牌图鉴!S33)</f>
        <v>185</v>
      </c>
      <c r="AG33" s="4"/>
      <c r="AH33" s="8" t="s">
        <v>2413</v>
      </c>
      <c r="AI33" s="4"/>
      <c r="AJ33" s="4"/>
      <c r="AK33" s="4"/>
      <c r="AL33" s="4"/>
    </row>
    <row r="34" spans="1:38" ht="99.95" customHeight="1" x14ac:dyDescent="0.15">
      <c r="A34" s="8">
        <v>6</v>
      </c>
      <c r="B34" s="8" t="s">
        <v>14</v>
      </c>
      <c r="C34" s="8">
        <v>1305</v>
      </c>
      <c r="D34" s="4"/>
      <c r="E34" s="4" t="s">
        <v>2658</v>
      </c>
      <c r="F34" s="15">
        <f>INDEX(数值规划表!$H$16:$J$122,MATCH(卡牌图鉴!E34,数值规划表!$F$16:$F$21,0),1)</f>
        <v>1.1200000000000001</v>
      </c>
      <c r="G34" s="15">
        <f>INDEX(数值规划表!$H$16:$J$21,MATCH(卡牌图鉴!E34,数值规划表!$F$16:$F$21,0),2)</f>
        <v>1.1200000000000001</v>
      </c>
      <c r="H34" s="15">
        <f>INDEX(数值规划表!$J$16:$J$21,MATCH(卡牌图鉴!E34,数值规划表!$F$16:$F$21,0))</f>
        <v>1.1000000000000001</v>
      </c>
      <c r="I34" s="8" t="s">
        <v>84</v>
      </c>
      <c r="J34" s="15">
        <f>INDEX(数值规划表!$B$7:$J$7,MATCH(卡牌图鉴!I34,数值规划表!$B$4:$J$4,0))</f>
        <v>1.2</v>
      </c>
      <c r="K34" s="4">
        <v>5</v>
      </c>
      <c r="L34" s="12">
        <v>5</v>
      </c>
      <c r="M34" s="15">
        <f>INDEX(数值规划表!$E$45:$M$54,MATCH(卡牌图鉴!K34,数值规划表!$A$45:$A$54,0),MATCH(卡牌图鉴!I34,数值规划表!$E$44:$M$44,0))</f>
        <v>37.5</v>
      </c>
      <c r="N34" s="15">
        <f>INDEX(数值规划表!$N$45:$V$54,MATCH(卡牌图鉴!K34,数值规划表!$A$45:$A$54,0),MATCH(卡牌图鉴!I34,数值规划表!$E$44:$M$44,0))</f>
        <v>834.7</v>
      </c>
      <c r="O34" s="8">
        <v>1</v>
      </c>
      <c r="P34" s="15">
        <f>INDEX(数值规划表!$B$32:$F$33,2,卡牌图鉴!O34)</f>
        <v>1</v>
      </c>
      <c r="Q34" s="15">
        <f>INDEX(数值规划表!$B$32:$F$33,1,卡牌图鉴!O34)</f>
        <v>1</v>
      </c>
      <c r="R34" s="4" t="s">
        <v>35</v>
      </c>
      <c r="S34" s="12">
        <v>4</v>
      </c>
      <c r="T34" s="15">
        <f>INDEX(名称表!$B$4:$B$7,MATCH(卡牌图鉴!R34,品质名称,0))</f>
        <v>4</v>
      </c>
      <c r="U34" s="15">
        <f>INDEX(数值规划表!$L$30:$M$33,MATCH(卡牌图鉴!R34,品质名称,0),2)</f>
        <v>1.5</v>
      </c>
      <c r="V34" s="15">
        <f>INDEX(数值规划表!$L$30:$M$33,MATCH(卡牌图鉴!R34,数值规划表!$K$30:$K$33,0),1)</f>
        <v>1.5</v>
      </c>
      <c r="W34" s="12">
        <v>0.6</v>
      </c>
      <c r="X34" s="12">
        <v>1</v>
      </c>
      <c r="Y34" s="12">
        <v>1</v>
      </c>
      <c r="Z34" s="12">
        <v>1</v>
      </c>
      <c r="AA34" s="15">
        <f t="shared" si="1"/>
        <v>37.799999999999997</v>
      </c>
      <c r="AB34" s="15">
        <f t="shared" si="2"/>
        <v>1402.3</v>
      </c>
      <c r="AC34" s="12" t="s">
        <v>1930</v>
      </c>
      <c r="AD34" s="15">
        <f t="shared" si="3"/>
        <v>8</v>
      </c>
      <c r="AE34" s="12"/>
      <c r="AF34" s="12">
        <f>INDEX(产销规划表!$B$20:$F$20,1,卡牌图鉴!S34)</f>
        <v>55</v>
      </c>
      <c r="AG34" s="4"/>
      <c r="AH34" s="8" t="s">
        <v>3063</v>
      </c>
      <c r="AI34" s="4"/>
      <c r="AJ34" s="4"/>
      <c r="AK34" s="4"/>
      <c r="AL34" s="4"/>
    </row>
    <row r="35" spans="1:38" ht="99.95" customHeight="1" x14ac:dyDescent="0.15">
      <c r="A35" s="8"/>
      <c r="B35" s="8" t="s">
        <v>607</v>
      </c>
      <c r="C35" s="8">
        <v>1316</v>
      </c>
      <c r="D35" s="12"/>
      <c r="E35" s="12" t="s">
        <v>51</v>
      </c>
      <c r="F35" s="15">
        <f>INDEX(数值规划表!$H$16:$J$122,MATCH(卡牌图鉴!E35,数值规划表!$F$16:$F$21,0),1)</f>
        <v>1</v>
      </c>
      <c r="G35" s="15">
        <f>INDEX(数值规划表!$H$16:$J$21,MATCH(卡牌图鉴!E35,数值规划表!$F$16:$F$21,0),2)</f>
        <v>1</v>
      </c>
      <c r="H35" s="15">
        <f>INDEX(数值规划表!$J$16:$J$21,MATCH(卡牌图鉴!E35,数值规划表!$F$16:$F$21,0))</f>
        <v>1.4</v>
      </c>
      <c r="I35" s="8" t="s">
        <v>84</v>
      </c>
      <c r="J35" s="15">
        <f>INDEX(数值规划表!$B$7:$J$7,MATCH(卡牌图鉴!I35,数值规划表!$B$4:$J$4,0))</f>
        <v>1.2</v>
      </c>
      <c r="K35" s="12">
        <v>4</v>
      </c>
      <c r="L35" s="12">
        <v>4</v>
      </c>
      <c r="M35" s="15">
        <f>INDEX(数值规划表!$E$45:$M$54,MATCH(卡牌图鉴!K35,数值规划表!$A$45:$A$54,0),MATCH(卡牌图鉴!I35,数值规划表!$E$44:$M$44,0))</f>
        <v>34.4</v>
      </c>
      <c r="N35" s="15">
        <f>INDEX(数值规划表!$N$45:$V$54,MATCH(卡牌图鉴!K35,数值规划表!$A$45:$A$54,0),MATCH(卡牌图鉴!I35,数值规划表!$E$44:$M$44,0))</f>
        <v>677.41</v>
      </c>
      <c r="O35" s="8">
        <v>2</v>
      </c>
      <c r="P35" s="15">
        <f>INDEX(数值规划表!$B$32:$F$33,2,卡牌图鉴!O35)</f>
        <v>0.7</v>
      </c>
      <c r="Q35" s="15">
        <f>INDEX(数值规划表!$B$32:$F$33,1,卡牌图鉴!O35)</f>
        <v>0.56999999999999995</v>
      </c>
      <c r="R35" s="12" t="s">
        <v>13</v>
      </c>
      <c r="S35" s="12">
        <v>3</v>
      </c>
      <c r="T35" s="15">
        <f>INDEX(名称表!$B$4:$B$7,MATCH(卡牌图鉴!R35,品质名称,0))</f>
        <v>3</v>
      </c>
      <c r="U35" s="15">
        <f>INDEX(数值规划表!$L$30:$M$33,MATCH(卡牌图鉴!R35,品质名称,0),2)</f>
        <v>1.25</v>
      </c>
      <c r="V35" s="15">
        <f>INDEX(数值规划表!$L$30:$M$33,MATCH(卡牌图鉴!R35,数值规划表!$K$30:$K$33,0),1)</f>
        <v>1.25</v>
      </c>
      <c r="W35" s="12">
        <v>1</v>
      </c>
      <c r="X35" s="12">
        <v>1</v>
      </c>
      <c r="Y35" s="12">
        <v>1</v>
      </c>
      <c r="Z35" s="12">
        <v>1</v>
      </c>
      <c r="AA35" s="15">
        <f t="shared" si="1"/>
        <v>30.1</v>
      </c>
      <c r="AB35" s="15">
        <f t="shared" si="2"/>
        <v>482.65</v>
      </c>
      <c r="AC35" s="12" t="s">
        <v>1930</v>
      </c>
      <c r="AD35" s="15">
        <f t="shared" si="3"/>
        <v>8</v>
      </c>
      <c r="AE35" s="12"/>
      <c r="AF35" s="12">
        <f>INDEX(产销规划表!$B$20:$F$20,1,卡牌图鉴!S35)</f>
        <v>185</v>
      </c>
      <c r="AG35" s="12"/>
      <c r="AH35" s="12"/>
      <c r="AI35" s="12"/>
      <c r="AJ35" s="12"/>
      <c r="AK35" s="12"/>
      <c r="AL35" s="12"/>
    </row>
    <row r="36" spans="1:38" ht="99.95" customHeight="1" x14ac:dyDescent="0.15">
      <c r="A36" s="8">
        <v>6</v>
      </c>
      <c r="B36" s="8" t="s">
        <v>17</v>
      </c>
      <c r="C36" s="8">
        <v>1184</v>
      </c>
      <c r="D36" s="4"/>
      <c r="E36" s="4" t="s">
        <v>49</v>
      </c>
      <c r="F36" s="15">
        <f>INDEX(数值规划表!$H$16:$J$122,MATCH(卡牌图鉴!E36,数值规划表!$F$16:$F$21,0),1)</f>
        <v>1.22</v>
      </c>
      <c r="G36" s="15">
        <f>INDEX(数值规划表!$H$16:$J$21,MATCH(卡牌图鉴!E36,数值规划表!$F$16:$F$21,0),2)</f>
        <v>1.22</v>
      </c>
      <c r="H36" s="15">
        <f>INDEX(数值规划表!$J$16:$J$21,MATCH(卡牌图鉴!E36,数值规划表!$F$16:$F$21,0))</f>
        <v>0.8</v>
      </c>
      <c r="I36" s="8" t="s">
        <v>85</v>
      </c>
      <c r="J36" s="15">
        <f>INDEX(数值规划表!$B$7:$J$7,MATCH(卡牌图鉴!I36,数值规划表!$B$4:$J$4,0))</f>
        <v>1.2</v>
      </c>
      <c r="K36" s="4">
        <v>7</v>
      </c>
      <c r="L36" s="12">
        <v>7</v>
      </c>
      <c r="M36" s="15">
        <f>INDEX(数值规划表!$E$45:$M$54,MATCH(卡牌图鉴!K36,数值规划表!$A$45:$A$54,0),MATCH(卡牌图鉴!I36,数值规划表!$E$44:$M$44,0))</f>
        <v>71.650000000000006</v>
      </c>
      <c r="N36" s="15">
        <f>INDEX(数值规划表!$N$45:$V$54,MATCH(卡牌图鉴!K36,数值规划表!$A$45:$A$54,0),MATCH(卡牌图鉴!I36,数值规划表!$E$44:$M$44,0))</f>
        <v>802.49</v>
      </c>
      <c r="O36" s="8">
        <v>1</v>
      </c>
      <c r="P36" s="15">
        <f>INDEX(数值规划表!$B$32:$F$33,2,卡牌图鉴!O36)</f>
        <v>1</v>
      </c>
      <c r="Q36" s="15">
        <f>INDEX(数值规划表!$B$32:$F$33,1,卡牌图鉴!O36)</f>
        <v>1</v>
      </c>
      <c r="R36" s="4" t="s">
        <v>35</v>
      </c>
      <c r="S36" s="12">
        <v>4</v>
      </c>
      <c r="T36" s="15">
        <f>INDEX(名称表!$B$4:$B$7,MATCH(卡牌图鉴!R36,品质名称,0))</f>
        <v>4</v>
      </c>
      <c r="U36" s="15">
        <f>INDEX(数值规划表!$L$30:$M$33,MATCH(卡牌图鉴!R36,品质名称,0),2)</f>
        <v>1.5</v>
      </c>
      <c r="V36" s="15">
        <f>INDEX(数值规划表!$L$30:$M$33,MATCH(卡牌图鉴!R36,数值规划表!$K$30:$K$33,0),1)</f>
        <v>1.5</v>
      </c>
      <c r="W36" s="12">
        <v>0.75</v>
      </c>
      <c r="X36" s="12">
        <v>1.6</v>
      </c>
      <c r="Y36" s="12">
        <v>1</v>
      </c>
      <c r="Z36" s="12">
        <v>1</v>
      </c>
      <c r="AA36" s="15">
        <f t="shared" si="1"/>
        <v>98.34</v>
      </c>
      <c r="AB36" s="15">
        <f t="shared" si="2"/>
        <v>2349.69</v>
      </c>
      <c r="AC36" s="12" t="s">
        <v>1930</v>
      </c>
      <c r="AD36" s="15">
        <f t="shared" si="3"/>
        <v>8</v>
      </c>
      <c r="AE36" s="12"/>
      <c r="AF36" s="12">
        <f>INDEX(产销规划表!$B$20:$F$20,1,卡牌图鉴!S36)</f>
        <v>55</v>
      </c>
      <c r="AG36" s="4"/>
      <c r="AH36" s="8" t="s">
        <v>2347</v>
      </c>
      <c r="AI36" s="4"/>
      <c r="AJ36" s="4"/>
      <c r="AK36" s="4"/>
      <c r="AL36" s="4"/>
    </row>
    <row r="37" spans="1:38" ht="99.95" customHeight="1" x14ac:dyDescent="0.15">
      <c r="A37" s="8">
        <v>6</v>
      </c>
      <c r="B37" s="4" t="s">
        <v>4</v>
      </c>
      <c r="C37" s="12">
        <v>1472</v>
      </c>
      <c r="D37" s="4"/>
      <c r="E37" s="4" t="s">
        <v>49</v>
      </c>
      <c r="F37" s="15">
        <f>INDEX(数值规划表!$H$16:$J$122,MATCH(卡牌图鉴!E37,数值规划表!$F$16:$F$21,0),1)</f>
        <v>1.22</v>
      </c>
      <c r="G37" s="15">
        <f>INDEX(数值规划表!$H$16:$J$21,MATCH(卡牌图鉴!E37,数值规划表!$F$16:$F$21,0),2)</f>
        <v>1.22</v>
      </c>
      <c r="H37" s="15">
        <f>INDEX(数值规划表!$J$16:$J$21,MATCH(卡牌图鉴!E37,数值规划表!$F$16:$F$21,0))</f>
        <v>0.8</v>
      </c>
      <c r="I37" s="8" t="s">
        <v>85</v>
      </c>
      <c r="J37" s="15">
        <f>INDEX(数值规划表!$B$7:$J$7,MATCH(卡牌图鉴!I37,数值规划表!$B$4:$J$4,0))</f>
        <v>1.2</v>
      </c>
      <c r="K37" s="4">
        <v>10</v>
      </c>
      <c r="L37" s="12">
        <v>10</v>
      </c>
      <c r="M37" s="15">
        <f>INDEX(数值规划表!$E$45:$M$54,MATCH(卡牌图鉴!K37,数值规划表!$A$45:$A$54,0),MATCH(卡牌图鉴!I37,数值规划表!$E$44:$M$44,0))</f>
        <v>76.48</v>
      </c>
      <c r="N37" s="15">
        <f>INDEX(数值规划表!$N$45:$V$54,MATCH(卡牌图鉴!K37,数值规划表!$A$45:$A$54,0),MATCH(卡牌图鉴!I37,数值规划表!$E$44:$M$44,0))</f>
        <v>1204.6400000000001</v>
      </c>
      <c r="O37" s="8">
        <v>1</v>
      </c>
      <c r="P37" s="15">
        <f>INDEX(数值规划表!$B$32:$F$33,2,卡牌图鉴!O37)</f>
        <v>1</v>
      </c>
      <c r="Q37" s="15">
        <f>INDEX(数值规划表!$B$32:$F$33,1,卡牌图鉴!O37)</f>
        <v>1</v>
      </c>
      <c r="R37" s="4" t="s">
        <v>11</v>
      </c>
      <c r="S37" s="12">
        <v>5</v>
      </c>
      <c r="T37" s="15">
        <f>INDEX(名称表!$B$4:$B$7,MATCH(卡牌图鉴!R37,品质名称,0))</f>
        <v>5</v>
      </c>
      <c r="U37" s="15">
        <f>INDEX(数值规划表!$L$30:$M$33,MATCH(卡牌图鉴!R37,品质名称,0),2)</f>
        <v>2</v>
      </c>
      <c r="V37" s="15">
        <f>INDEX(数值规划表!$L$30:$M$33,MATCH(卡牌图鉴!R37,数值规划表!$K$30:$K$33,0),1)</f>
        <v>2</v>
      </c>
      <c r="W37" s="12">
        <v>0.75</v>
      </c>
      <c r="X37" s="12">
        <v>0.75</v>
      </c>
      <c r="Y37" s="12">
        <v>1</v>
      </c>
      <c r="Z37" s="12">
        <v>1</v>
      </c>
      <c r="AA37" s="15">
        <f t="shared" si="1"/>
        <v>139.96</v>
      </c>
      <c r="AB37" s="15">
        <f t="shared" si="2"/>
        <v>2204.4899999999998</v>
      </c>
      <c r="AC37" s="12" t="s">
        <v>1930</v>
      </c>
      <c r="AD37" s="15">
        <f t="shared" si="3"/>
        <v>8</v>
      </c>
      <c r="AE37" s="12"/>
      <c r="AF37" s="12">
        <f>INDEX(产销规划表!$B$20:$F$20,1,卡牌图鉴!S37)</f>
        <v>20</v>
      </c>
      <c r="AG37" s="4"/>
      <c r="AH37" s="4"/>
      <c r="AI37" s="4"/>
      <c r="AJ37" s="4"/>
      <c r="AK37" s="4"/>
      <c r="AL37" s="4"/>
    </row>
    <row r="38" spans="1:38" ht="99.95" customHeight="1" x14ac:dyDescent="0.15">
      <c r="A38" s="8"/>
      <c r="B38" s="8" t="s">
        <v>609</v>
      </c>
      <c r="C38" s="12">
        <v>1517</v>
      </c>
      <c r="D38" s="12"/>
      <c r="E38" s="12" t="s">
        <v>2658</v>
      </c>
      <c r="F38" s="15">
        <f>INDEX(数值规划表!$H$16:$J$122,MATCH(卡牌图鉴!E38,数值规划表!$F$16:$F$21,0),1)</f>
        <v>1.1200000000000001</v>
      </c>
      <c r="G38" s="15">
        <f>INDEX(数值规划表!$H$16:$J$21,MATCH(卡牌图鉴!E38,数值规划表!$F$16:$F$21,0),2)</f>
        <v>1.1200000000000001</v>
      </c>
      <c r="H38" s="15">
        <f>INDEX(数值规划表!$J$16:$J$21,MATCH(卡牌图鉴!E38,数值规划表!$F$16:$F$21,0))</f>
        <v>1.1000000000000001</v>
      </c>
      <c r="I38" s="8" t="s">
        <v>85</v>
      </c>
      <c r="J38" s="15">
        <f>INDEX(数值规划表!$B$7:$J$7,MATCH(卡牌图鉴!I38,数值规划表!$B$4:$J$4,0))</f>
        <v>1.2</v>
      </c>
      <c r="K38" s="12">
        <v>6</v>
      </c>
      <c r="L38" s="12">
        <v>6</v>
      </c>
      <c r="M38" s="15">
        <f>INDEX(数值规划表!$E$45:$M$54,MATCH(卡牌图鉴!K38,数值规划表!$A$45:$A$54,0),MATCH(卡牌图鉴!I38,数值规划表!$E$44:$M$44,0))</f>
        <v>67.97</v>
      </c>
      <c r="N38" s="15">
        <f>INDEX(数值规划表!$N$45:$V$54,MATCH(卡牌图鉴!K38,数值规划表!$A$45:$A$54,0),MATCH(卡牌图鉴!I38,数值规划表!$E$44:$M$44,0))</f>
        <v>689.95</v>
      </c>
      <c r="O38" s="8">
        <v>2</v>
      </c>
      <c r="P38" s="15">
        <f>INDEX(数值规划表!$B$32:$F$33,2,卡牌图鉴!O38)</f>
        <v>0.7</v>
      </c>
      <c r="Q38" s="15">
        <f>INDEX(数值规划表!$B$32:$F$33,1,卡牌图鉴!O38)</f>
        <v>0.56999999999999995</v>
      </c>
      <c r="R38" s="12" t="s">
        <v>11</v>
      </c>
      <c r="S38" s="12">
        <v>5</v>
      </c>
      <c r="T38" s="15">
        <f>INDEX(名称表!$B$4:$B$7,MATCH(卡牌图鉴!R38,品质名称,0))</f>
        <v>5</v>
      </c>
      <c r="U38" s="15">
        <f>INDEX(数值规划表!$L$30:$M$33,MATCH(卡牌图鉴!R38,品质名称,0),2)</f>
        <v>2</v>
      </c>
      <c r="V38" s="15">
        <f>INDEX(数值规划表!$L$30:$M$33,MATCH(卡牌图鉴!R38,数值规划表!$K$30:$K$33,0),1)</f>
        <v>2</v>
      </c>
      <c r="W38" s="12">
        <v>1</v>
      </c>
      <c r="X38" s="12">
        <v>1</v>
      </c>
      <c r="Y38" s="12">
        <v>1</v>
      </c>
      <c r="Z38" s="12">
        <v>1</v>
      </c>
      <c r="AA38" s="15">
        <f t="shared" si="1"/>
        <v>106.58</v>
      </c>
      <c r="AB38" s="15">
        <f t="shared" si="2"/>
        <v>880.93</v>
      </c>
      <c r="AC38" s="12" t="s">
        <v>1930</v>
      </c>
      <c r="AD38" s="15">
        <f t="shared" si="3"/>
        <v>8</v>
      </c>
      <c r="AE38" s="12"/>
      <c r="AF38" s="12">
        <f>INDEX(产销规划表!$B$20:$F$20,1,卡牌图鉴!S38)</f>
        <v>20</v>
      </c>
      <c r="AG38" s="12"/>
      <c r="AH38" s="12"/>
      <c r="AI38" s="12"/>
      <c r="AJ38" s="12"/>
      <c r="AK38" s="12"/>
      <c r="AL38" s="12"/>
    </row>
    <row r="39" spans="1:38" ht="99.95" customHeight="1" x14ac:dyDescent="0.15">
      <c r="A39" s="8"/>
      <c r="B39" s="8" t="s">
        <v>610</v>
      </c>
      <c r="C39" s="12">
        <v>1528</v>
      </c>
      <c r="D39" s="12"/>
      <c r="E39" s="12" t="s">
        <v>51</v>
      </c>
      <c r="F39" s="15">
        <f>INDEX(数值规划表!$H$16:$J$122,MATCH(卡牌图鉴!E39,数值规划表!$F$16:$F$21,0),1)</f>
        <v>1</v>
      </c>
      <c r="G39" s="15">
        <f>INDEX(数值规划表!$H$16:$J$21,MATCH(卡牌图鉴!E39,数值规划表!$F$16:$F$21,0),2)</f>
        <v>1</v>
      </c>
      <c r="H39" s="15">
        <f>INDEX(数值规划表!$J$16:$J$21,MATCH(卡牌图鉴!E39,数值规划表!$F$16:$F$21,0))</f>
        <v>1.4</v>
      </c>
      <c r="I39" s="8" t="s">
        <v>85</v>
      </c>
      <c r="J39" s="15">
        <f>INDEX(数值规划表!$B$7:$J$7,MATCH(卡牌图鉴!I39,数值规划表!$B$4:$J$4,0))</f>
        <v>1.2</v>
      </c>
      <c r="K39" s="12">
        <v>3</v>
      </c>
      <c r="L39" s="12">
        <v>3</v>
      </c>
      <c r="M39" s="15">
        <f>INDEX(数值规划表!$E$45:$M$54,MATCH(卡牌图鉴!K39,数值规划表!$A$45:$A$54,0),MATCH(卡牌图鉴!I39,数值规划表!$E$44:$M$44,0))</f>
        <v>51.77</v>
      </c>
      <c r="N39" s="15">
        <f>INDEX(数值规划表!$N$45:$V$54,MATCH(卡牌图鉴!K39,数值规划表!$A$45:$A$54,0),MATCH(卡牌图鉴!I39,数值规划表!$E$44:$M$44,0))</f>
        <v>362.38</v>
      </c>
      <c r="O39" s="8">
        <v>2</v>
      </c>
      <c r="P39" s="15">
        <f>INDEX(数值规划表!$B$32:$F$33,2,卡牌图鉴!O39)</f>
        <v>0.7</v>
      </c>
      <c r="Q39" s="15">
        <f>INDEX(数值规划表!$B$32:$F$33,1,卡牌图鉴!O39)</f>
        <v>0.56999999999999995</v>
      </c>
      <c r="R39" s="12" t="s">
        <v>11</v>
      </c>
      <c r="S39" s="12">
        <v>5</v>
      </c>
      <c r="T39" s="15">
        <f>INDEX(名称表!$B$4:$B$7,MATCH(卡牌图鉴!R39,品质名称,0))</f>
        <v>5</v>
      </c>
      <c r="U39" s="15">
        <f>INDEX(数值规划表!$L$30:$M$33,MATCH(卡牌图鉴!R39,品质名称,0),2)</f>
        <v>2</v>
      </c>
      <c r="V39" s="15">
        <f>INDEX(数值规划表!$L$30:$M$33,MATCH(卡牌图鉴!R39,数值规划表!$K$30:$K$33,0),1)</f>
        <v>2</v>
      </c>
      <c r="W39" s="12">
        <v>1</v>
      </c>
      <c r="X39" s="12">
        <v>1</v>
      </c>
      <c r="Y39" s="12">
        <v>1</v>
      </c>
      <c r="Z39" s="12">
        <v>1</v>
      </c>
      <c r="AA39" s="15">
        <f t="shared" si="1"/>
        <v>72.48</v>
      </c>
      <c r="AB39" s="15">
        <f t="shared" si="2"/>
        <v>413.11</v>
      </c>
      <c r="AC39" s="12" t="s">
        <v>1930</v>
      </c>
      <c r="AD39" s="15">
        <f t="shared" si="3"/>
        <v>8</v>
      </c>
      <c r="AE39" s="12"/>
      <c r="AF39" s="12">
        <f>INDEX(产销规划表!$B$20:$F$20,1,卡牌图鉴!S39)</f>
        <v>20</v>
      </c>
      <c r="AG39" s="12"/>
      <c r="AH39" s="12"/>
      <c r="AI39" s="12"/>
      <c r="AJ39" s="12"/>
      <c r="AK39" s="12"/>
      <c r="AL39" s="12"/>
    </row>
    <row r="40" spans="1:38" ht="99.95" customHeight="1" x14ac:dyDescent="0.15">
      <c r="A40" s="9">
        <v>6</v>
      </c>
      <c r="B40" s="8" t="s">
        <v>65</v>
      </c>
      <c r="C40" s="8">
        <v>1550</v>
      </c>
      <c r="D40" s="4"/>
      <c r="E40" s="4" t="s">
        <v>51</v>
      </c>
      <c r="F40" s="15">
        <f>INDEX(数值规划表!$H$16:$J$122,MATCH(卡牌图鉴!E40,数值规划表!$F$16:$F$21,0),1)</f>
        <v>1</v>
      </c>
      <c r="G40" s="15">
        <f>INDEX(数值规划表!$H$16:$J$21,MATCH(卡牌图鉴!E40,数值规划表!$F$16:$F$21,0),2)</f>
        <v>1</v>
      </c>
      <c r="H40" s="15">
        <f>INDEX(数值规划表!$J$16:$J$21,MATCH(卡牌图鉴!E40,数值规划表!$F$16:$F$21,0))</f>
        <v>1.4</v>
      </c>
      <c r="I40" s="4" t="s">
        <v>2500</v>
      </c>
      <c r="J40" s="15">
        <f>INDEX(数值规划表!$B$7:$J$7,MATCH(卡牌图鉴!I40,数值规划表!$B$4:$J$4,0))</f>
        <v>4.5</v>
      </c>
      <c r="K40" s="4">
        <v>3</v>
      </c>
      <c r="L40" s="12">
        <v>3</v>
      </c>
      <c r="M40" s="15">
        <f>INDEX(数值规划表!$E$45:$M$54,MATCH(卡牌图鉴!K40,数值规划表!$A$45:$A$54,0),MATCH(卡牌图鉴!I40,数值规划表!$E$44:$M$44,0))</f>
        <v>46.22</v>
      </c>
      <c r="N40" s="15">
        <f>INDEX(数值规划表!$N$45:$V$54,MATCH(卡牌图鉴!K40,数值规划表!$A$45:$A$54,0),MATCH(卡牌图鉴!I40,数值规划表!$E$44:$M$44,0))</f>
        <v>129.41999999999999</v>
      </c>
      <c r="O40" s="4">
        <v>1</v>
      </c>
      <c r="P40" s="15">
        <f>INDEX(数值规划表!$B$32:$F$33,2,卡牌图鉴!O40)</f>
        <v>1</v>
      </c>
      <c r="Q40" s="15">
        <f>INDEX(数值规划表!$B$32:$F$33,1,卡牌图鉴!O40)</f>
        <v>1</v>
      </c>
      <c r="R40" s="4" t="s">
        <v>13</v>
      </c>
      <c r="S40" s="12">
        <v>3</v>
      </c>
      <c r="T40" s="15">
        <f>INDEX(名称表!$B$4:$B$7,MATCH(卡牌图鉴!R40,品质名称,0))</f>
        <v>3</v>
      </c>
      <c r="U40" s="15">
        <f>INDEX(数值规划表!$L$30:$M$33,MATCH(卡牌图鉴!R40,品质名称,0),2)</f>
        <v>1.25</v>
      </c>
      <c r="V40" s="15">
        <f>INDEX(数值规划表!$L$30:$M$33,MATCH(卡牌图鉴!R40,数值规划表!$K$30:$K$33,0),1)</f>
        <v>1.25</v>
      </c>
      <c r="W40" s="12">
        <v>1</v>
      </c>
      <c r="X40" s="12">
        <v>1</v>
      </c>
      <c r="Y40" s="12">
        <v>1</v>
      </c>
      <c r="Z40" s="12">
        <v>1</v>
      </c>
      <c r="AA40" s="15">
        <f t="shared" si="1"/>
        <v>57.78</v>
      </c>
      <c r="AB40" s="15">
        <f t="shared" si="2"/>
        <v>161.78</v>
      </c>
      <c r="AC40" s="12" t="s">
        <v>1930</v>
      </c>
      <c r="AD40" s="15">
        <f t="shared" si="3"/>
        <v>8</v>
      </c>
      <c r="AE40" s="12"/>
      <c r="AF40" s="12">
        <f>INDEX(产销规划表!$B$20:$F$20,1,卡牌图鉴!S40)</f>
        <v>185</v>
      </c>
      <c r="AG40" s="4"/>
      <c r="AH40" s="4"/>
      <c r="AI40" s="4"/>
      <c r="AJ40" s="4"/>
      <c r="AK40" s="4"/>
      <c r="AL40" s="4"/>
    </row>
    <row r="41" spans="1:38" ht="99.95" customHeight="1" x14ac:dyDescent="0.15">
      <c r="A41" s="8">
        <v>3</v>
      </c>
      <c r="B41" s="8" t="s">
        <v>61</v>
      </c>
      <c r="C41" s="8">
        <v>1195</v>
      </c>
      <c r="D41" s="4"/>
      <c r="E41" s="4" t="s">
        <v>51</v>
      </c>
      <c r="F41" s="15">
        <f>INDEX(数值规划表!$H$16:$J$122,MATCH(卡牌图鉴!E41,数值规划表!$F$16:$F$21,0),1)</f>
        <v>1</v>
      </c>
      <c r="G41" s="15">
        <f>INDEX(数值规划表!$H$16:$J$21,MATCH(卡牌图鉴!E41,数值规划表!$F$16:$F$21,0),2)</f>
        <v>1</v>
      </c>
      <c r="H41" s="15">
        <f>INDEX(数值规划表!$J$16:$J$21,MATCH(卡牌图鉴!E41,数值规划表!$F$16:$F$21,0))</f>
        <v>1.4</v>
      </c>
      <c r="I41" s="4" t="s">
        <v>86</v>
      </c>
      <c r="J41" s="15">
        <f>INDEX(数值规划表!$B$7:$J$7,MATCH(卡牌图鉴!I41,数值规划表!$B$4:$J$4,0))</f>
        <v>5</v>
      </c>
      <c r="K41" s="4">
        <v>4</v>
      </c>
      <c r="L41" s="12">
        <v>4</v>
      </c>
      <c r="M41" s="15">
        <f>INDEX(数值规划表!$E$45:$M$54,MATCH(卡牌图鉴!K41,数值规划表!$A$45:$A$54,0),MATCH(卡牌图鉴!I41,数值规划表!$E$44:$M$44,0))</f>
        <v>53.17</v>
      </c>
      <c r="N41" s="15">
        <f>INDEX(数值规划表!$N$45:$V$54,MATCH(卡牌图鉴!K41,数值规划表!$A$45:$A$54,0),MATCH(卡牌图鉴!I41,数值规划表!$E$44:$M$44,0))</f>
        <v>164.26</v>
      </c>
      <c r="O41" s="8">
        <v>1</v>
      </c>
      <c r="P41" s="15">
        <f>INDEX(数值规划表!$B$32:$F$33,2,卡牌图鉴!O41)</f>
        <v>1</v>
      </c>
      <c r="Q41" s="15">
        <f>INDEX(数值规划表!$B$32:$F$33,1,卡牌图鉴!O41)</f>
        <v>1</v>
      </c>
      <c r="R41" s="4" t="s">
        <v>13</v>
      </c>
      <c r="S41" s="12">
        <v>4</v>
      </c>
      <c r="T41" s="15">
        <f>INDEX(名称表!$B$4:$B$7,MATCH(卡牌图鉴!R41,品质名称,0))</f>
        <v>3</v>
      </c>
      <c r="U41" s="15">
        <f>INDEX(数值规划表!$L$30:$M$33,MATCH(卡牌图鉴!R41,品质名称,0),2)</f>
        <v>1.25</v>
      </c>
      <c r="V41" s="15">
        <f>INDEX(数值规划表!$L$30:$M$33,MATCH(卡牌图鉴!R41,数值规划表!$K$30:$K$33,0),1)</f>
        <v>1.25</v>
      </c>
      <c r="W41" s="12">
        <v>1</v>
      </c>
      <c r="X41" s="8">
        <v>1</v>
      </c>
      <c r="Y41" s="12">
        <v>0.88</v>
      </c>
      <c r="Z41" s="12">
        <v>1.1399999999999999</v>
      </c>
      <c r="AA41" s="15">
        <f t="shared" ref="AA41:AA52" si="4">ROUND(F41*M41*P41*U41*W41*Y41,2)</f>
        <v>58.49</v>
      </c>
      <c r="AB41" s="15">
        <f t="shared" ref="AB41:AB52" si="5">ROUND(N41*G41*Q41*V41*X41*Z41,2)</f>
        <v>234.07</v>
      </c>
      <c r="AC41" s="12" t="s">
        <v>1930</v>
      </c>
      <c r="AD41" s="15">
        <f t="shared" ref="AD41:AD52" si="6">INDEX(寻敌范围值,MATCH(AC41,寻敌范围,0))</f>
        <v>8</v>
      </c>
      <c r="AE41" s="12"/>
      <c r="AF41" s="12">
        <f>INDEX(产销规划表!$B$20:$F$20,1,卡牌图鉴!S41)</f>
        <v>55</v>
      </c>
      <c r="AG41" s="4"/>
      <c r="AH41" s="8" t="s">
        <v>2428</v>
      </c>
      <c r="AI41" s="4"/>
      <c r="AJ41" s="4"/>
      <c r="AK41" s="4"/>
      <c r="AL41" s="4"/>
    </row>
    <row r="42" spans="1:38" ht="99.95" customHeight="1" x14ac:dyDescent="0.15">
      <c r="A42" s="8">
        <v>3</v>
      </c>
      <c r="B42" s="8" t="s">
        <v>59</v>
      </c>
      <c r="C42" s="8">
        <v>1561</v>
      </c>
      <c r="D42" s="4"/>
      <c r="E42" s="4" t="s">
        <v>51</v>
      </c>
      <c r="F42" s="15">
        <f>INDEX(数值规划表!$H$16:$J$122,MATCH(卡牌图鉴!E42,数值规划表!$F$16:$F$21,0),1)</f>
        <v>1</v>
      </c>
      <c r="G42" s="15">
        <f>INDEX(数值规划表!$H$16:$J$21,MATCH(卡牌图鉴!E42,数值规划表!$F$16:$F$21,0),2)</f>
        <v>1</v>
      </c>
      <c r="H42" s="15">
        <f>INDEX(数值规划表!$J$16:$J$21,MATCH(卡牌图鉴!E42,数值规划表!$F$16:$F$21,0))</f>
        <v>1.4</v>
      </c>
      <c r="I42" s="4" t="s">
        <v>1323</v>
      </c>
      <c r="J42" s="12">
        <v>9</v>
      </c>
      <c r="K42" s="4">
        <v>4</v>
      </c>
      <c r="L42" s="12">
        <v>4</v>
      </c>
      <c r="M42" s="15">
        <f>INDEX(数值规划表!$E$45:$M$54,MATCH(卡牌图鉴!K42,数值规划表!$A$45:$A$54,0),MATCH(卡牌图鉴!I42,数值规划表!$E$44:$M$44,0))</f>
        <v>52.13</v>
      </c>
      <c r="N42" s="15">
        <f>INDEX(数值规划表!$N$45:$V$54,MATCH(卡牌图鉴!K42,数值规划表!$A$45:$A$54,0),MATCH(卡牌图鉴!I42,数值规划表!$E$44:$M$44,0))</f>
        <v>179.84</v>
      </c>
      <c r="O42" s="8">
        <v>1</v>
      </c>
      <c r="P42" s="15">
        <f>INDEX(数值规划表!$B$32:$F$33,2,卡牌图鉴!O42)</f>
        <v>1</v>
      </c>
      <c r="Q42" s="15">
        <f>INDEX(数值规划表!$B$32:$F$33,1,卡牌图鉴!O42)</f>
        <v>1</v>
      </c>
      <c r="R42" s="4" t="s">
        <v>35</v>
      </c>
      <c r="S42" s="12">
        <v>5</v>
      </c>
      <c r="T42" s="15">
        <f>INDEX(名称表!$B$4:$B$7,MATCH(卡牌图鉴!R42,品质名称,0))</f>
        <v>4</v>
      </c>
      <c r="U42" s="15">
        <f>INDEX(数值规划表!$L$30:$M$33,MATCH(卡牌图鉴!R42,品质名称,0),2)</f>
        <v>1.5</v>
      </c>
      <c r="V42" s="15">
        <f>INDEX(数值规划表!$L$30:$M$33,MATCH(卡牌图鉴!R42,数值规划表!$K$30:$K$33,0),1)</f>
        <v>1.5</v>
      </c>
      <c r="W42" s="12">
        <v>0.7</v>
      </c>
      <c r="X42" s="12">
        <v>0.8</v>
      </c>
      <c r="Y42" s="12">
        <v>0.88</v>
      </c>
      <c r="Z42" s="12">
        <v>1.1399999999999999</v>
      </c>
      <c r="AA42" s="15">
        <f t="shared" si="4"/>
        <v>48.17</v>
      </c>
      <c r="AB42" s="15">
        <f t="shared" si="5"/>
        <v>246.02</v>
      </c>
      <c r="AC42" s="12" t="s">
        <v>1928</v>
      </c>
      <c r="AD42" s="15">
        <f t="shared" si="6"/>
        <v>12</v>
      </c>
      <c r="AE42" s="12"/>
      <c r="AF42" s="12">
        <f>INDEX(产销规划表!$B$20:$F$20,1,卡牌图鉴!S42)</f>
        <v>20</v>
      </c>
      <c r="AG42" s="4"/>
      <c r="AH42" s="8" t="s">
        <v>2349</v>
      </c>
      <c r="AI42" s="4"/>
      <c r="AJ42" s="4"/>
      <c r="AK42" s="4"/>
      <c r="AL42" s="4"/>
    </row>
    <row r="43" spans="1:38" ht="99.95" customHeight="1" x14ac:dyDescent="0.15">
      <c r="A43" s="8">
        <v>4</v>
      </c>
      <c r="B43" s="8" t="s">
        <v>57</v>
      </c>
      <c r="C43" s="8">
        <v>1384</v>
      </c>
      <c r="D43" s="4"/>
      <c r="E43" s="4" t="s">
        <v>51</v>
      </c>
      <c r="F43" s="15">
        <f>INDEX(数值规划表!$H$16:$J$122,MATCH(卡牌图鉴!E43,数值规划表!$F$16:$F$21,0),1)</f>
        <v>1</v>
      </c>
      <c r="G43" s="15">
        <f>INDEX(数值规划表!$H$16:$J$21,MATCH(卡牌图鉴!E43,数值规划表!$F$16:$F$21,0),2)</f>
        <v>1</v>
      </c>
      <c r="H43" s="15">
        <f>INDEX(数值规划表!$J$16:$J$21,MATCH(卡牌图鉴!E43,数值规划表!$F$16:$F$21,0))</f>
        <v>1.4</v>
      </c>
      <c r="I43" s="4" t="s">
        <v>131</v>
      </c>
      <c r="J43" s="15">
        <f>INDEX(数值规划表!$B$7:$J$7,MATCH(卡牌图鉴!I43,数值规划表!$B$4:$J$4,0))</f>
        <v>5</v>
      </c>
      <c r="K43" s="4">
        <v>3</v>
      </c>
      <c r="L43" s="12">
        <v>3</v>
      </c>
      <c r="M43" s="15">
        <f>INDEX(数值规划表!$E$45:$M$54,MATCH(卡牌图鉴!K43,数值规划表!$A$45:$A$54,0),MATCH(卡牌图鉴!I43,数值规划表!$E$44:$M$44,0))</f>
        <v>47.15</v>
      </c>
      <c r="N43" s="15">
        <f>INDEX(数值规划表!$N$45:$V$54,MATCH(卡牌图鉴!K43,数值规划表!$A$45:$A$54,0),MATCH(卡牌图鉴!I43,数值规划表!$E$44:$M$44,0))</f>
        <v>163.62</v>
      </c>
      <c r="O43" s="8">
        <v>1</v>
      </c>
      <c r="P43" s="15">
        <f>INDEX(数值规划表!$B$32:$F$33,2,卡牌图鉴!O43)</f>
        <v>1</v>
      </c>
      <c r="Q43" s="15">
        <f>INDEX(数值规划表!$B$32:$F$33,1,卡牌图鉴!O43)</f>
        <v>1</v>
      </c>
      <c r="R43" s="4" t="s">
        <v>13</v>
      </c>
      <c r="S43" s="12">
        <v>4</v>
      </c>
      <c r="T43" s="15">
        <f>INDEX(名称表!$B$4:$B$7,MATCH(卡牌图鉴!R43,品质名称,0))</f>
        <v>3</v>
      </c>
      <c r="U43" s="15">
        <f>INDEX(数值规划表!$L$30:$M$33,MATCH(卡牌图鉴!R43,品质名称,0),2)</f>
        <v>1.25</v>
      </c>
      <c r="V43" s="15">
        <f>INDEX(数值规划表!$L$30:$M$33,MATCH(卡牌图鉴!R43,数值规划表!$K$30:$K$33,0),1)</f>
        <v>1.25</v>
      </c>
      <c r="W43" s="12">
        <v>0.75</v>
      </c>
      <c r="X43" s="12">
        <v>1</v>
      </c>
      <c r="Y43" s="12">
        <v>0.88</v>
      </c>
      <c r="Z43" s="12">
        <v>1.1399999999999999</v>
      </c>
      <c r="AA43" s="15">
        <f t="shared" si="4"/>
        <v>38.9</v>
      </c>
      <c r="AB43" s="15">
        <f t="shared" si="5"/>
        <v>233.16</v>
      </c>
      <c r="AC43" s="12" t="s">
        <v>1930</v>
      </c>
      <c r="AD43" s="15">
        <f t="shared" si="6"/>
        <v>8</v>
      </c>
      <c r="AE43" s="12"/>
      <c r="AF43" s="12">
        <f>INDEX(产销规划表!$B$20:$F$20,1,卡牌图鉴!S43)</f>
        <v>55</v>
      </c>
      <c r="AG43" s="4"/>
      <c r="AH43" s="4"/>
      <c r="AI43" s="4"/>
      <c r="AJ43" s="4"/>
      <c r="AK43" s="4"/>
      <c r="AL43" s="4"/>
    </row>
    <row r="44" spans="1:38" ht="99.95" customHeight="1" x14ac:dyDescent="0.15">
      <c r="A44" s="8">
        <v>4</v>
      </c>
      <c r="B44" s="8" t="s">
        <v>60</v>
      </c>
      <c r="C44" s="8">
        <v>1228</v>
      </c>
      <c r="D44" s="4"/>
      <c r="E44" s="4" t="s">
        <v>51</v>
      </c>
      <c r="F44" s="15">
        <f>INDEX(数值规划表!$H$16:$J$122,MATCH(卡牌图鉴!E44,数值规划表!$F$16:$F$21,0),1)</f>
        <v>1</v>
      </c>
      <c r="G44" s="15">
        <f>INDEX(数值规划表!$H$16:$J$21,MATCH(卡牌图鉴!E44,数值规划表!$F$16:$F$21,0),2)</f>
        <v>1</v>
      </c>
      <c r="H44" s="15">
        <f>INDEX(数值规划表!$J$16:$J$21,MATCH(卡牌图鉴!E44,数值规划表!$F$16:$F$21,0))</f>
        <v>1.4</v>
      </c>
      <c r="I44" s="4" t="s">
        <v>90</v>
      </c>
      <c r="J44" s="15">
        <f>INDEX(数值规划表!$B$7:$J$7,MATCH(卡牌图鉴!I44,数值规划表!$B$4:$J$4,0))</f>
        <v>1.2</v>
      </c>
      <c r="K44" s="4">
        <v>4</v>
      </c>
      <c r="L44" s="12">
        <v>4</v>
      </c>
      <c r="M44" s="15">
        <f>INDEX(数值规划表!$E$45:$M$54,MATCH(卡牌图鉴!K44,数值规划表!$A$45:$A$54,0),MATCH(卡牌图鉴!I44,数值规划表!$E$44:$M$44,0))</f>
        <v>76.11</v>
      </c>
      <c r="N44" s="15">
        <f>INDEX(数值规划表!$N$45:$V$54,MATCH(卡牌图鉴!K44,数值规划表!$A$45:$A$54,0),MATCH(卡牌图鉴!I44,数值规划表!$E$44:$M$44,0))</f>
        <v>351.29</v>
      </c>
      <c r="O44" s="8">
        <v>1</v>
      </c>
      <c r="P44" s="15">
        <f>INDEX(数值规划表!$B$32:$F$33,2,卡牌图鉴!O44)</f>
        <v>1</v>
      </c>
      <c r="Q44" s="15">
        <f>INDEX(数值规划表!$B$32:$F$33,1,卡牌图鉴!O44)</f>
        <v>1</v>
      </c>
      <c r="R44" s="4" t="s">
        <v>35</v>
      </c>
      <c r="S44" s="12">
        <v>5</v>
      </c>
      <c r="T44" s="15">
        <f>INDEX(名称表!$B$4:$B$7,MATCH(卡牌图鉴!R44,品质名称,0))</f>
        <v>4</v>
      </c>
      <c r="U44" s="15">
        <f>INDEX(数值规划表!$L$30:$M$33,MATCH(卡牌图鉴!R44,品质名称,0),2)</f>
        <v>1.5</v>
      </c>
      <c r="V44" s="15">
        <f>INDEX(数值规划表!$L$30:$M$33,MATCH(卡牌图鉴!R44,数值规划表!$K$30:$K$33,0),1)</f>
        <v>1.5</v>
      </c>
      <c r="W44" s="12">
        <v>1</v>
      </c>
      <c r="X44" s="12">
        <v>1</v>
      </c>
      <c r="Y44" s="12">
        <v>1</v>
      </c>
      <c r="Z44" s="12">
        <v>1</v>
      </c>
      <c r="AA44" s="15">
        <f t="shared" si="4"/>
        <v>114.17</v>
      </c>
      <c r="AB44" s="15">
        <f t="shared" si="5"/>
        <v>526.94000000000005</v>
      </c>
      <c r="AC44" s="12" t="s">
        <v>1953</v>
      </c>
      <c r="AD44" s="15">
        <f t="shared" si="6"/>
        <v>6</v>
      </c>
      <c r="AE44" s="12"/>
      <c r="AF44" s="12">
        <f>INDEX(产销规划表!$B$20:$F$20,1,卡牌图鉴!S44)</f>
        <v>20</v>
      </c>
      <c r="AG44" s="4"/>
      <c r="AH44" s="8" t="s">
        <v>2350</v>
      </c>
      <c r="AI44" s="4"/>
      <c r="AJ44" s="4"/>
      <c r="AK44" s="4"/>
      <c r="AL44" s="4"/>
    </row>
    <row r="45" spans="1:38" ht="99.95" customHeight="1" x14ac:dyDescent="0.15">
      <c r="A45" s="8">
        <v>5</v>
      </c>
      <c r="B45" s="8" t="s">
        <v>62</v>
      </c>
      <c r="C45" s="8">
        <v>1105</v>
      </c>
      <c r="D45" s="4"/>
      <c r="E45" s="4" t="s">
        <v>51</v>
      </c>
      <c r="F45" s="15">
        <f>INDEX(数值规划表!$H$16:$J$122,MATCH(卡牌图鉴!E45,数值规划表!$F$16:$F$21,0),1)</f>
        <v>1</v>
      </c>
      <c r="G45" s="15">
        <f>INDEX(数值规划表!$H$16:$J$21,MATCH(卡牌图鉴!E45,数值规划表!$F$16:$F$21,0),2)</f>
        <v>1</v>
      </c>
      <c r="H45" s="15">
        <f>INDEX(数值规划表!$J$16:$J$21,MATCH(卡牌图鉴!E45,数值规划表!$F$16:$F$21,0))</f>
        <v>1.4</v>
      </c>
      <c r="I45" s="4" t="s">
        <v>131</v>
      </c>
      <c r="J45" s="15">
        <f>INDEX(数值规划表!$B$7:$J$7,MATCH(卡牌图鉴!I45,数值规划表!$B$4:$J$4,0))</f>
        <v>5</v>
      </c>
      <c r="K45" s="4">
        <v>3</v>
      </c>
      <c r="L45" s="12">
        <v>3</v>
      </c>
      <c r="M45" s="15">
        <f>INDEX(数值规划表!$E$45:$M$54,MATCH(卡牌图鉴!K45,数值规划表!$A$45:$A$54,0),MATCH(卡牌图鉴!I45,数值规划表!$E$44:$M$44,0))</f>
        <v>47.15</v>
      </c>
      <c r="N45" s="15">
        <f>INDEX(数值规划表!$N$45:$V$54,MATCH(卡牌图鉴!K45,数值规划表!$A$45:$A$54,0),MATCH(卡牌图鉴!I45,数值规划表!$E$44:$M$44,0))</f>
        <v>163.62</v>
      </c>
      <c r="O45" s="4">
        <v>1</v>
      </c>
      <c r="P45" s="15">
        <f>INDEX(数值规划表!$B$32:$F$33,2,卡牌图鉴!O45)</f>
        <v>1</v>
      </c>
      <c r="Q45" s="15">
        <f>INDEX(数值规划表!$B$32:$F$33,1,卡牌图鉴!O45)</f>
        <v>1</v>
      </c>
      <c r="R45" s="4" t="s">
        <v>13</v>
      </c>
      <c r="S45" s="12">
        <v>4</v>
      </c>
      <c r="T45" s="15">
        <f>INDEX(名称表!$B$4:$B$7,MATCH(卡牌图鉴!R45,品质名称,0))</f>
        <v>3</v>
      </c>
      <c r="U45" s="15">
        <f>INDEX(数值规划表!$L$30:$M$33,MATCH(卡牌图鉴!R45,品质名称,0),2)</f>
        <v>1.25</v>
      </c>
      <c r="V45" s="15">
        <f>INDEX(数值规划表!$L$30:$M$33,MATCH(卡牌图鉴!R45,数值规划表!$K$30:$K$33,0),1)</f>
        <v>1.25</v>
      </c>
      <c r="W45" s="12">
        <v>1</v>
      </c>
      <c r="X45" s="12">
        <v>1</v>
      </c>
      <c r="Y45" s="12">
        <v>0.88</v>
      </c>
      <c r="Z45" s="12">
        <v>1.1399999999999999</v>
      </c>
      <c r="AA45" s="15">
        <f t="shared" si="4"/>
        <v>51.87</v>
      </c>
      <c r="AB45" s="15">
        <f t="shared" si="5"/>
        <v>233.16</v>
      </c>
      <c r="AC45" s="12" t="s">
        <v>1930</v>
      </c>
      <c r="AD45" s="15">
        <f t="shared" si="6"/>
        <v>8</v>
      </c>
      <c r="AE45" s="12"/>
      <c r="AF45" s="12">
        <f>INDEX(产销规划表!$B$20:$F$20,1,卡牌图鉴!S45)</f>
        <v>55</v>
      </c>
      <c r="AG45" s="4"/>
      <c r="AH45" s="8" t="s">
        <v>2345</v>
      </c>
      <c r="AI45" s="4"/>
      <c r="AJ45" s="4"/>
      <c r="AK45" s="4"/>
      <c r="AL45" s="4"/>
    </row>
    <row r="46" spans="1:38" ht="99.95" customHeight="1" x14ac:dyDescent="0.15">
      <c r="A46" s="8">
        <v>5</v>
      </c>
      <c r="B46" s="8" t="s">
        <v>58</v>
      </c>
      <c r="C46" s="8">
        <v>1089</v>
      </c>
      <c r="D46" s="4"/>
      <c r="E46" s="4" t="s">
        <v>51</v>
      </c>
      <c r="F46" s="15">
        <f>INDEX(数值规划表!$H$16:$J$122,MATCH(卡牌图鉴!E46,数值规划表!$F$16:$F$21,0),1)</f>
        <v>1</v>
      </c>
      <c r="G46" s="15">
        <f>INDEX(数值规划表!$H$16:$J$21,MATCH(卡牌图鉴!E46,数值规划表!$F$16:$F$21,0),2)</f>
        <v>1</v>
      </c>
      <c r="H46" s="15">
        <f>INDEX(数值规划表!$J$16:$J$21,MATCH(卡牌图鉴!E46,数值规划表!$F$16:$F$21,0))</f>
        <v>1.4</v>
      </c>
      <c r="I46" s="4" t="s">
        <v>131</v>
      </c>
      <c r="J46" s="15">
        <f>INDEX(数值规划表!$B$7:$J$7,MATCH(卡牌图鉴!I46,数值规划表!$B$4:$J$4,0))</f>
        <v>5</v>
      </c>
      <c r="K46" s="12">
        <v>3</v>
      </c>
      <c r="L46" s="12">
        <v>3</v>
      </c>
      <c r="M46" s="15">
        <f>INDEX(数值规划表!$E$45:$M$54,MATCH(卡牌图鉴!K46,数值规划表!$A$45:$A$54,0),MATCH(卡牌图鉴!I46,数值规划表!$E$44:$M$44,0))</f>
        <v>47.15</v>
      </c>
      <c r="N46" s="15">
        <f>INDEX(数值规划表!$N$45:$V$54,MATCH(卡牌图鉴!K46,数值规划表!$A$45:$A$54,0),MATCH(卡牌图鉴!I46,数值规划表!$E$44:$M$44,0))</f>
        <v>163.62</v>
      </c>
      <c r="O46" s="8">
        <v>1</v>
      </c>
      <c r="P46" s="15">
        <f>INDEX(数值规划表!$B$32:$F$33,2,卡牌图鉴!O46)</f>
        <v>1</v>
      </c>
      <c r="Q46" s="15">
        <f>INDEX(数值规划表!$B$32:$F$33,1,卡牌图鉴!O46)</f>
        <v>1</v>
      </c>
      <c r="R46" s="4" t="s">
        <v>13</v>
      </c>
      <c r="S46" s="12">
        <v>4</v>
      </c>
      <c r="T46" s="15">
        <f>INDEX(名称表!$B$4:$B$7,MATCH(卡牌图鉴!R46,品质名称,0))</f>
        <v>3</v>
      </c>
      <c r="U46" s="15">
        <f>INDEX(数值规划表!$L$30:$M$33,MATCH(卡牌图鉴!R46,品质名称,0),2)</f>
        <v>1.25</v>
      </c>
      <c r="V46" s="15">
        <f>INDEX(数值规划表!$L$30:$M$33,MATCH(卡牌图鉴!R46,数值规划表!$K$30:$K$33,0),1)</f>
        <v>1.25</v>
      </c>
      <c r="W46" s="12">
        <v>1</v>
      </c>
      <c r="X46" s="12">
        <v>1</v>
      </c>
      <c r="Y46" s="12">
        <v>1</v>
      </c>
      <c r="Z46" s="12">
        <v>1.1000000000000001</v>
      </c>
      <c r="AA46" s="15">
        <f t="shared" si="4"/>
        <v>58.94</v>
      </c>
      <c r="AB46" s="15">
        <f t="shared" si="5"/>
        <v>224.98</v>
      </c>
      <c r="AC46" s="12" t="s">
        <v>1930</v>
      </c>
      <c r="AD46" s="15">
        <f t="shared" si="6"/>
        <v>8</v>
      </c>
      <c r="AE46" s="12"/>
      <c r="AF46" s="12">
        <f>INDEX(产销规划表!$B$20:$F$20,1,卡牌图鉴!S46)</f>
        <v>55</v>
      </c>
      <c r="AG46" s="4"/>
      <c r="AH46" s="4"/>
      <c r="AI46" s="4"/>
      <c r="AJ46" s="4"/>
      <c r="AK46" s="4"/>
      <c r="AL46" s="4"/>
    </row>
    <row r="47" spans="1:38" ht="99.95" customHeight="1" x14ac:dyDescent="0.15">
      <c r="A47" s="8">
        <v>5</v>
      </c>
      <c r="B47" s="8" t="s">
        <v>64</v>
      </c>
      <c r="C47" s="8">
        <v>1140</v>
      </c>
      <c r="D47" s="4"/>
      <c r="E47" s="4" t="s">
        <v>51</v>
      </c>
      <c r="F47" s="15">
        <f>INDEX(数值规划表!$H$16:$J$122,MATCH(卡牌图鉴!E47,数值规划表!$F$16:$F$21,0),1)</f>
        <v>1</v>
      </c>
      <c r="G47" s="15">
        <f>INDEX(数值规划表!$H$16:$J$21,MATCH(卡牌图鉴!E47,数值规划表!$F$16:$F$21,0),2)</f>
        <v>1</v>
      </c>
      <c r="H47" s="15">
        <f>INDEX(数值规划表!$J$16:$J$21,MATCH(卡牌图鉴!E47,数值规划表!$F$16:$F$21,0))</f>
        <v>1.4</v>
      </c>
      <c r="I47" s="4" t="s">
        <v>90</v>
      </c>
      <c r="J47" s="15">
        <f>INDEX(数值规划表!$B$7:$J$7,MATCH(卡牌图鉴!I47,数值规划表!$B$4:$J$4,0))</f>
        <v>1.2</v>
      </c>
      <c r="K47" s="12">
        <v>4</v>
      </c>
      <c r="L47" s="12">
        <v>4</v>
      </c>
      <c r="M47" s="15">
        <f>INDEX(数值规划表!$E$45:$M$54,MATCH(卡牌图鉴!K47,数值规划表!$A$45:$A$54,0),MATCH(卡牌图鉴!I47,数值规划表!$E$44:$M$44,0))</f>
        <v>76.11</v>
      </c>
      <c r="N47" s="15">
        <f>INDEX(数值规划表!$N$45:$V$54,MATCH(卡牌图鉴!K47,数值规划表!$A$45:$A$54,0),MATCH(卡牌图鉴!I47,数值规划表!$E$44:$M$44,0))</f>
        <v>351.29</v>
      </c>
      <c r="O47" s="4">
        <v>1</v>
      </c>
      <c r="P47" s="15">
        <f>INDEX(数值规划表!$B$32:$F$33,2,卡牌图鉴!O47)</f>
        <v>1</v>
      </c>
      <c r="Q47" s="15">
        <f>INDEX(数值规划表!$B$32:$F$33,1,卡牌图鉴!O47)</f>
        <v>1</v>
      </c>
      <c r="R47" s="4" t="s">
        <v>13</v>
      </c>
      <c r="S47" s="12">
        <v>4</v>
      </c>
      <c r="T47" s="15">
        <f>INDEX(名称表!$B$4:$B$7,MATCH(卡牌图鉴!R47,品质名称,0))</f>
        <v>3</v>
      </c>
      <c r="U47" s="15">
        <f>INDEX(数值规划表!$L$30:$M$33,MATCH(卡牌图鉴!R47,品质名称,0),2)</f>
        <v>1.25</v>
      </c>
      <c r="V47" s="15">
        <f>INDEX(数值规划表!$L$30:$M$33,MATCH(卡牌图鉴!R47,数值规划表!$K$30:$K$33,0),1)</f>
        <v>1.25</v>
      </c>
      <c r="W47" s="12">
        <v>1</v>
      </c>
      <c r="X47" s="12">
        <v>1</v>
      </c>
      <c r="Y47" s="12">
        <v>0.88</v>
      </c>
      <c r="Z47" s="12">
        <v>1.1399999999999999</v>
      </c>
      <c r="AA47" s="15">
        <f t="shared" si="4"/>
        <v>83.72</v>
      </c>
      <c r="AB47" s="15">
        <f t="shared" si="5"/>
        <v>500.59</v>
      </c>
      <c r="AC47" s="12" t="s">
        <v>1930</v>
      </c>
      <c r="AD47" s="15">
        <f t="shared" si="6"/>
        <v>8</v>
      </c>
      <c r="AE47" s="12"/>
      <c r="AF47" s="12">
        <f>INDEX(产销规划表!$B$20:$F$20,1,卡牌图鉴!S47)</f>
        <v>55</v>
      </c>
      <c r="AG47" s="4"/>
      <c r="AH47" s="8" t="s">
        <v>2346</v>
      </c>
      <c r="AI47" s="4"/>
      <c r="AJ47" s="4"/>
      <c r="AK47" s="4"/>
      <c r="AL47" s="4"/>
    </row>
    <row r="48" spans="1:38" ht="99.95" customHeight="1" x14ac:dyDescent="0.15">
      <c r="A48" s="8">
        <v>5</v>
      </c>
      <c r="B48" s="8" t="s">
        <v>63</v>
      </c>
      <c r="C48" s="8">
        <v>1294</v>
      </c>
      <c r="D48" s="4"/>
      <c r="E48" s="4" t="s">
        <v>2658</v>
      </c>
      <c r="F48" s="15">
        <f>INDEX(数值规划表!$H$16:$J$122,MATCH(卡牌图鉴!E48,数值规划表!$F$16:$F$21,0),1)</f>
        <v>1.1200000000000001</v>
      </c>
      <c r="G48" s="15">
        <f>INDEX(数值规划表!$H$16:$J$21,MATCH(卡牌图鉴!E48,数值规划表!$F$16:$F$21,0),2)</f>
        <v>1.1200000000000001</v>
      </c>
      <c r="H48" s="15">
        <f>INDEX(数值规划表!$J$16:$J$21,MATCH(卡牌图鉴!E48,数值规划表!$F$16:$F$21,0))</f>
        <v>1.1000000000000001</v>
      </c>
      <c r="I48" s="4" t="s">
        <v>1323</v>
      </c>
      <c r="J48" s="15">
        <f>INDEX(数值规划表!$B$7:$J$7,MATCH(卡牌图鉴!I48,数值规划表!$B$4:$J$4,0))</f>
        <v>6</v>
      </c>
      <c r="K48" s="12">
        <v>4</v>
      </c>
      <c r="L48" s="12">
        <v>4</v>
      </c>
      <c r="M48" s="15">
        <f>INDEX(数值规划表!$E$45:$M$54,MATCH(卡牌图鉴!K48,数值规划表!$A$45:$A$54,0),MATCH(卡牌图鉴!I48,数值规划表!$E$44:$M$44,0))</f>
        <v>52.13</v>
      </c>
      <c r="N48" s="15">
        <f>INDEX(数值规划表!$N$45:$V$54,MATCH(卡牌图鉴!K48,数值规划表!$A$45:$A$54,0),MATCH(卡牌图鉴!I48,数值规划表!$E$44:$M$44,0))</f>
        <v>179.84</v>
      </c>
      <c r="O48" s="4">
        <v>1</v>
      </c>
      <c r="P48" s="15">
        <f>INDEX(数值规划表!$B$32:$F$33,2,卡牌图鉴!O48)</f>
        <v>1</v>
      </c>
      <c r="Q48" s="15">
        <f>INDEX(数值规划表!$B$32:$F$33,1,卡牌图鉴!O48)</f>
        <v>1</v>
      </c>
      <c r="R48" s="4" t="s">
        <v>13</v>
      </c>
      <c r="S48" s="12">
        <v>4</v>
      </c>
      <c r="T48" s="15">
        <f>INDEX(名称表!$B$4:$B$7,MATCH(卡牌图鉴!R48,品质名称,0))</f>
        <v>3</v>
      </c>
      <c r="U48" s="15">
        <f>INDEX(数值规划表!$L$30:$M$33,MATCH(卡牌图鉴!R48,品质名称,0),2)</f>
        <v>1.25</v>
      </c>
      <c r="V48" s="15">
        <f>INDEX(数值规划表!$L$30:$M$33,MATCH(卡牌图鉴!R48,数值规划表!$K$30:$K$33,0),1)</f>
        <v>1.25</v>
      </c>
      <c r="W48" s="12">
        <v>1</v>
      </c>
      <c r="X48" s="12">
        <v>0.9</v>
      </c>
      <c r="Y48" s="12">
        <v>0.88</v>
      </c>
      <c r="Z48" s="12">
        <v>1.1399999999999999</v>
      </c>
      <c r="AA48" s="15">
        <f t="shared" si="4"/>
        <v>64.22</v>
      </c>
      <c r="AB48" s="15">
        <f t="shared" si="5"/>
        <v>258.32</v>
      </c>
      <c r="AC48" s="12" t="s">
        <v>1930</v>
      </c>
      <c r="AD48" s="15">
        <f t="shared" si="6"/>
        <v>8</v>
      </c>
      <c r="AE48" s="12"/>
      <c r="AF48" s="12">
        <f>INDEX(产销规划表!$B$20:$F$20,1,卡牌图鉴!S48)</f>
        <v>55</v>
      </c>
      <c r="AG48" s="4"/>
      <c r="AH48" s="4"/>
      <c r="AI48" s="4"/>
      <c r="AJ48" s="4"/>
      <c r="AK48" s="4"/>
      <c r="AL48" s="4"/>
    </row>
    <row r="49" spans="1:38" ht="99.95" customHeight="1" x14ac:dyDescent="0.15">
      <c r="A49" s="8">
        <v>6</v>
      </c>
      <c r="B49" s="8" t="s">
        <v>1351</v>
      </c>
      <c r="C49" s="8">
        <v>1461</v>
      </c>
      <c r="D49" s="4"/>
      <c r="E49" s="4" t="s">
        <v>2658</v>
      </c>
      <c r="F49" s="15">
        <f>INDEX(数值规划表!$H$16:$J$122,MATCH(卡牌图鉴!E49,数值规划表!$F$16:$F$21,0),1)</f>
        <v>1.1200000000000001</v>
      </c>
      <c r="G49" s="15">
        <f>INDEX(数值规划表!$H$16:$J$21,MATCH(卡牌图鉴!E49,数值规划表!$F$16:$F$21,0),2)</f>
        <v>1.1200000000000001</v>
      </c>
      <c r="H49" s="15">
        <f>INDEX(数值规划表!$J$16:$J$21,MATCH(卡牌图鉴!E49,数值规划表!$F$16:$F$21,0))</f>
        <v>1.1000000000000001</v>
      </c>
      <c r="I49" s="4" t="s">
        <v>85</v>
      </c>
      <c r="J49" s="15">
        <f>INDEX(数值规划表!$B$7:$J$7,MATCH(卡牌图鉴!I49,数值规划表!$B$4:$J$4,0))</f>
        <v>1.2</v>
      </c>
      <c r="K49" s="4">
        <v>5</v>
      </c>
      <c r="L49" s="12">
        <v>5</v>
      </c>
      <c r="M49" s="15">
        <f>INDEX(数值规划表!$E$45:$M$54,MATCH(卡牌图鉴!K49,数值规划表!$A$45:$A$54,0),MATCH(卡牌图鉴!I49,数值规划表!$E$44:$M$44,0))</f>
        <v>63.64</v>
      </c>
      <c r="N49" s="15">
        <f>INDEX(数值规划表!$N$45:$V$54,MATCH(卡牌图鉴!K49,数值规划表!$A$45:$A$54,0),MATCH(卡牌图鉴!I49,数值规划表!$E$44:$M$44,0))</f>
        <v>579.12</v>
      </c>
      <c r="O49" s="4">
        <v>1</v>
      </c>
      <c r="P49" s="15">
        <f>INDEX(数值规划表!$B$32:$F$33,2,卡牌图鉴!O49)</f>
        <v>1</v>
      </c>
      <c r="Q49" s="15">
        <f>INDEX(数值规划表!$B$32:$F$33,1,卡牌图鉴!O49)</f>
        <v>1</v>
      </c>
      <c r="R49" s="4" t="s">
        <v>13</v>
      </c>
      <c r="S49" s="12">
        <v>4</v>
      </c>
      <c r="T49" s="15">
        <f>INDEX(名称表!$B$4:$B$7,MATCH(卡牌图鉴!R49,品质名称,0))</f>
        <v>3</v>
      </c>
      <c r="U49" s="15">
        <f>INDEX(数值规划表!$L$30:$M$33,MATCH(卡牌图鉴!R49,品质名称,0),2)</f>
        <v>1.25</v>
      </c>
      <c r="V49" s="15">
        <f>INDEX(数值规划表!$L$30:$M$33,MATCH(卡牌图鉴!R49,数值规划表!$K$30:$K$33,0),1)</f>
        <v>1.25</v>
      </c>
      <c r="W49" s="12">
        <v>1</v>
      </c>
      <c r="X49" s="12">
        <v>1</v>
      </c>
      <c r="Y49" s="12">
        <v>0.88</v>
      </c>
      <c r="Z49" s="12">
        <v>1.1399999999999999</v>
      </c>
      <c r="AA49" s="15">
        <f t="shared" si="4"/>
        <v>78.400000000000006</v>
      </c>
      <c r="AB49" s="15">
        <f t="shared" si="5"/>
        <v>924.28</v>
      </c>
      <c r="AC49" s="12" t="s">
        <v>1953</v>
      </c>
      <c r="AD49" s="15">
        <f t="shared" si="6"/>
        <v>6</v>
      </c>
      <c r="AE49" s="12"/>
      <c r="AF49" s="12">
        <f>INDEX(产销规划表!$B$20:$F$20,1,卡牌图鉴!S49)</f>
        <v>55</v>
      </c>
      <c r="AG49" s="4"/>
      <c r="AH49" s="4"/>
      <c r="AI49" s="4"/>
      <c r="AJ49" s="4"/>
      <c r="AK49" s="4"/>
      <c r="AL49" s="4"/>
    </row>
    <row r="50" spans="1:38" ht="99.95" customHeight="1" x14ac:dyDescent="0.15">
      <c r="A50" s="8">
        <v>2</v>
      </c>
      <c r="B50" s="8" t="s">
        <v>1348</v>
      </c>
      <c r="C50" s="8">
        <v>1206</v>
      </c>
      <c r="D50" s="4"/>
      <c r="E50" s="4" t="s">
        <v>51</v>
      </c>
      <c r="F50" s="15">
        <f>INDEX(数值规划表!$H$16:$J$122,MATCH(卡牌图鉴!E50,数值规划表!$F$16:$F$21,0),1)</f>
        <v>1</v>
      </c>
      <c r="G50" s="15">
        <f>INDEX(数值规划表!$H$16:$J$21,MATCH(卡牌图鉴!E50,数值规划表!$F$16:$F$21,0),2)</f>
        <v>1</v>
      </c>
      <c r="H50" s="15">
        <f>INDEX(数值规划表!$J$16:$J$21,MATCH(卡牌图鉴!E50,数值规划表!$F$16:$F$21,0))</f>
        <v>1.4</v>
      </c>
      <c r="I50" s="4" t="s">
        <v>84</v>
      </c>
      <c r="J50" s="15">
        <f>INDEX(数值规划表!$B$7:$J$7,MATCH(卡牌图鉴!I50,数值规划表!$B$4:$J$4,0))</f>
        <v>1.2</v>
      </c>
      <c r="K50" s="4">
        <v>5</v>
      </c>
      <c r="L50" s="12">
        <v>5</v>
      </c>
      <c r="M50" s="15">
        <f>INDEX(数值规划表!$E$45:$M$54,MATCH(卡牌图鉴!K50,数值规划表!$A$45:$A$54,0),MATCH(卡牌图鉴!I50,数值规划表!$E$44:$M$44,0))</f>
        <v>37.5</v>
      </c>
      <c r="N50" s="15">
        <f>INDEX(数值规划表!$N$45:$V$54,MATCH(卡牌图鉴!K50,数值规划表!$A$45:$A$54,0),MATCH(卡牌图鉴!I50,数值规划表!$E$44:$M$44,0))</f>
        <v>834.7</v>
      </c>
      <c r="O50" s="8">
        <v>1</v>
      </c>
      <c r="P50" s="15">
        <f>INDEX(数值规划表!$B$32:$F$33,2,卡牌图鉴!O50)</f>
        <v>1</v>
      </c>
      <c r="Q50" s="15">
        <f>INDEX(数值规划表!$B$32:$F$33,1,卡牌图鉴!O50)</f>
        <v>1</v>
      </c>
      <c r="R50" s="4" t="s">
        <v>13</v>
      </c>
      <c r="S50" s="12">
        <v>4</v>
      </c>
      <c r="T50" s="15">
        <f>INDEX(名称表!$B$4:$B$7,MATCH(卡牌图鉴!R50,品质名称,0))</f>
        <v>3</v>
      </c>
      <c r="U50" s="15">
        <f>INDEX(数值规划表!$L$30:$M$33,MATCH(卡牌图鉴!R50,品质名称,0),2)</f>
        <v>1.25</v>
      </c>
      <c r="V50" s="15">
        <f>INDEX(数值规划表!$L$30:$M$33,MATCH(卡牌图鉴!R50,数值规划表!$K$30:$K$33,0),1)</f>
        <v>1.25</v>
      </c>
      <c r="W50" s="12">
        <v>1</v>
      </c>
      <c r="X50" s="12">
        <v>0.7</v>
      </c>
      <c r="Y50" s="12">
        <v>0.88</v>
      </c>
      <c r="Z50" s="12">
        <v>1.1399999999999999</v>
      </c>
      <c r="AA50" s="15">
        <f t="shared" si="4"/>
        <v>41.25</v>
      </c>
      <c r="AB50" s="15">
        <f t="shared" si="5"/>
        <v>832.61</v>
      </c>
      <c r="AC50" s="12" t="s">
        <v>1930</v>
      </c>
      <c r="AD50" s="15">
        <f t="shared" si="6"/>
        <v>8</v>
      </c>
      <c r="AE50" s="12"/>
      <c r="AF50" s="12">
        <f>INDEX(产销规划表!$B$20:$F$20,1,卡牌图鉴!S50)</f>
        <v>55</v>
      </c>
      <c r="AG50" s="4"/>
      <c r="AH50" s="4"/>
      <c r="AI50" s="4"/>
      <c r="AJ50" s="4"/>
      <c r="AK50" s="4"/>
      <c r="AL50" s="4"/>
    </row>
    <row r="51" spans="1:38" ht="99.95" customHeight="1" x14ac:dyDescent="0.15">
      <c r="A51" s="8">
        <v>2</v>
      </c>
      <c r="B51" s="8" t="s">
        <v>1349</v>
      </c>
      <c r="C51" s="8">
        <v>1373</v>
      </c>
      <c r="D51" s="4"/>
      <c r="E51" s="4" t="s">
        <v>51</v>
      </c>
      <c r="F51" s="15">
        <f>INDEX(数值规划表!$H$16:$J$122,MATCH(卡牌图鉴!E51,数值规划表!$F$16:$F$21,0),1)</f>
        <v>1</v>
      </c>
      <c r="G51" s="15">
        <f>INDEX(数值规划表!$H$16:$J$21,MATCH(卡牌图鉴!E51,数值规划表!$F$16:$F$21,0),2)</f>
        <v>1</v>
      </c>
      <c r="H51" s="12">
        <v>1.1000000000000001</v>
      </c>
      <c r="I51" s="4" t="s">
        <v>84</v>
      </c>
      <c r="J51" s="15">
        <f>INDEX(数值规划表!$B$7:$J$7,MATCH(卡牌图鉴!I51,数值规划表!$B$4:$J$4,0))</f>
        <v>1.2</v>
      </c>
      <c r="K51" s="4">
        <v>4</v>
      </c>
      <c r="L51" s="12">
        <v>4</v>
      </c>
      <c r="M51" s="15">
        <f>INDEX(数值规划表!$E$45:$M$54,MATCH(卡牌图鉴!K51,数值规划表!$A$45:$A$54,0),MATCH(卡牌图鉴!I51,数值规划表!$E$44:$M$44,0))</f>
        <v>34.4</v>
      </c>
      <c r="N51" s="15">
        <f>INDEX(数值规划表!$N$45:$V$54,MATCH(卡牌图鉴!K51,数值规划表!$A$45:$A$54,0),MATCH(卡牌图鉴!I51,数值规划表!$E$44:$M$44,0))</f>
        <v>677.41</v>
      </c>
      <c r="O51" s="4">
        <v>1</v>
      </c>
      <c r="P51" s="15">
        <f>INDEX(数值规划表!$B$32:$F$33,2,卡牌图鉴!O51)</f>
        <v>1</v>
      </c>
      <c r="Q51" s="15">
        <f>INDEX(数值规划表!$B$32:$F$33,1,卡牌图鉴!O51)</f>
        <v>1</v>
      </c>
      <c r="R51" s="4" t="s">
        <v>13</v>
      </c>
      <c r="S51" s="12">
        <v>4</v>
      </c>
      <c r="T51" s="15">
        <f>INDEX(名称表!$B$4:$B$7,MATCH(卡牌图鉴!R51,品质名称,0))</f>
        <v>3</v>
      </c>
      <c r="U51" s="15">
        <f>INDEX(数值规划表!$L$30:$M$33,MATCH(卡牌图鉴!R51,品质名称,0),2)</f>
        <v>1.25</v>
      </c>
      <c r="V51" s="15">
        <f>INDEX(数值规划表!$L$30:$M$33,MATCH(卡牌图鉴!R51,数值规划表!$K$30:$K$33,0),1)</f>
        <v>1.25</v>
      </c>
      <c r="W51" s="12">
        <v>0.9</v>
      </c>
      <c r="X51" s="12">
        <v>0.9</v>
      </c>
      <c r="Y51" s="12">
        <v>0.88</v>
      </c>
      <c r="Z51" s="12">
        <v>1.1399999999999999</v>
      </c>
      <c r="AA51" s="15">
        <f t="shared" si="4"/>
        <v>34.06</v>
      </c>
      <c r="AB51" s="15">
        <f t="shared" si="5"/>
        <v>868.78</v>
      </c>
      <c r="AC51" s="12" t="s">
        <v>1930</v>
      </c>
      <c r="AD51" s="15">
        <f t="shared" si="6"/>
        <v>8</v>
      </c>
      <c r="AE51" s="12"/>
      <c r="AF51" s="12">
        <f>INDEX(产销规划表!$B$20:$F$20,1,卡牌图鉴!S51)</f>
        <v>55</v>
      </c>
      <c r="AG51" s="4"/>
      <c r="AH51" s="4"/>
      <c r="AI51" s="4"/>
      <c r="AJ51" s="4"/>
      <c r="AK51" s="4"/>
      <c r="AL51" s="4"/>
    </row>
    <row r="52" spans="1:38" ht="99.95" customHeight="1" x14ac:dyDescent="0.15">
      <c r="A52" s="8">
        <v>2</v>
      </c>
      <c r="B52" s="8" t="s">
        <v>1320</v>
      </c>
      <c r="C52" s="8">
        <v>1217</v>
      </c>
      <c r="D52" s="4"/>
      <c r="E52" s="4" t="s">
        <v>51</v>
      </c>
      <c r="F52" s="15">
        <f>INDEX(数值规划表!$H$16:$J$122,MATCH(卡牌图鉴!E52,数值规划表!$F$16:$F$21,0),1)</f>
        <v>1</v>
      </c>
      <c r="G52" s="15">
        <f>INDEX(数值规划表!$H$16:$J$21,MATCH(卡牌图鉴!E52,数值规划表!$F$16:$F$21,0),2)</f>
        <v>1</v>
      </c>
      <c r="H52" s="15">
        <f>INDEX(数值规划表!$J$16:$J$21,MATCH(卡牌图鉴!E52,数值规划表!$F$16:$F$21,0))</f>
        <v>1.4</v>
      </c>
      <c r="I52" s="4" t="s">
        <v>118</v>
      </c>
      <c r="J52" s="15">
        <f>INDEX(数值规划表!$B$7:$J$7,MATCH(卡牌图鉴!I52,数值规划表!$B$4:$J$4,0))</f>
        <v>4</v>
      </c>
      <c r="K52" s="12">
        <v>4</v>
      </c>
      <c r="L52" s="12">
        <v>4</v>
      </c>
      <c r="M52" s="15">
        <f>INDEX(数值规划表!$E$45:$M$54,MATCH(卡牌图鉴!K52,数值规划表!$A$45:$A$54,0),MATCH(卡牌图鉴!I52,数值规划表!$E$44:$M$44,0))</f>
        <v>57.34</v>
      </c>
      <c r="N52" s="15">
        <f>INDEX(数值规划表!$N$45:$V$54,MATCH(卡牌图鉴!K52,数值规划表!$A$45:$A$54,0),MATCH(卡牌图鉴!I52,数值规划表!$E$44:$M$44,0))</f>
        <v>262.57</v>
      </c>
      <c r="O52" s="4">
        <v>1</v>
      </c>
      <c r="P52" s="15">
        <f>INDEX(数值规划表!$B$32:$F$33,2,卡牌图鉴!O52)</f>
        <v>1</v>
      </c>
      <c r="Q52" s="15">
        <f>INDEX(数值规划表!$B$32:$F$33,1,卡牌图鉴!O52)</f>
        <v>1</v>
      </c>
      <c r="R52" s="4" t="s">
        <v>13</v>
      </c>
      <c r="S52" s="12">
        <v>4</v>
      </c>
      <c r="T52" s="15">
        <f>INDEX(名称表!$B$4:$B$7,MATCH(卡牌图鉴!R52,品质名称,0))</f>
        <v>3</v>
      </c>
      <c r="U52" s="15">
        <f>INDEX(数值规划表!$L$30:$M$33,MATCH(卡牌图鉴!R52,品质名称,0),2)</f>
        <v>1.25</v>
      </c>
      <c r="V52" s="15">
        <f>INDEX(数值规划表!$L$30:$M$33,MATCH(卡牌图鉴!R52,数值规划表!$K$30:$K$33,0),1)</f>
        <v>1.25</v>
      </c>
      <c r="W52" s="12">
        <v>0.9</v>
      </c>
      <c r="X52" s="12">
        <v>0.85</v>
      </c>
      <c r="Y52" s="12">
        <v>0.88</v>
      </c>
      <c r="Z52" s="12">
        <v>1.1399999999999999</v>
      </c>
      <c r="AA52" s="15">
        <f t="shared" si="4"/>
        <v>56.77</v>
      </c>
      <c r="AB52" s="15">
        <f t="shared" si="5"/>
        <v>318.04000000000002</v>
      </c>
      <c r="AC52" s="12" t="s">
        <v>1930</v>
      </c>
      <c r="AD52" s="15">
        <f t="shared" si="6"/>
        <v>8</v>
      </c>
      <c r="AE52" s="12"/>
      <c r="AF52" s="12">
        <f>INDEX(产销规划表!$B$20:$F$20,1,卡牌图鉴!S52)</f>
        <v>55</v>
      </c>
      <c r="AG52" s="4"/>
      <c r="AH52" s="8" t="s">
        <v>2338</v>
      </c>
      <c r="AI52" s="4"/>
      <c r="AJ52" s="4"/>
      <c r="AK52" s="4"/>
      <c r="AL52" s="4"/>
    </row>
    <row r="53" spans="1:38" ht="99.95" customHeight="1" x14ac:dyDescent="0.15">
      <c r="A53" s="9">
        <v>6</v>
      </c>
      <c r="B53" s="8" t="s">
        <v>1321</v>
      </c>
      <c r="C53" s="8">
        <v>1327</v>
      </c>
      <c r="D53" s="4"/>
      <c r="E53" s="4" t="s">
        <v>49</v>
      </c>
      <c r="F53" s="15">
        <f>INDEX(数值规划表!$H$16:$J$122,MATCH(卡牌图鉴!E53,数值规划表!$F$16:$F$21,0),1)</f>
        <v>1.22</v>
      </c>
      <c r="G53" s="15">
        <f>INDEX(数值规划表!$H$16:$J$21,MATCH(卡牌图鉴!E53,数值规划表!$F$16:$F$21,0),2)</f>
        <v>1.22</v>
      </c>
      <c r="H53" s="15">
        <f>INDEX(数值规划表!$J$16:$J$21,MATCH(卡牌图鉴!E53,数值规划表!$F$16:$F$21,0))</f>
        <v>0.8</v>
      </c>
      <c r="I53" s="4" t="s">
        <v>85</v>
      </c>
      <c r="J53" s="15">
        <f>INDEX(数值规划表!$B$7:$J$7,MATCH(卡牌图鉴!I53,数值规划表!$B$4:$J$4,0))</f>
        <v>1.2</v>
      </c>
      <c r="K53" s="4">
        <v>5</v>
      </c>
      <c r="L53" s="12">
        <v>5</v>
      </c>
      <c r="M53" s="15">
        <f>INDEX(数值规划表!$E$45:$M$54,MATCH(卡牌图鉴!K53,数值规划表!$A$45:$A$54,0),MATCH(卡牌图鉴!I53,数值规划表!$E$44:$M$44,0))</f>
        <v>63.64</v>
      </c>
      <c r="N53" s="15">
        <f>INDEX(数值规划表!$N$45:$V$54,MATCH(卡牌图鉴!K53,数值规划表!$A$45:$A$54,0),MATCH(卡牌图鉴!I53,数值规划表!$E$44:$M$44,0))</f>
        <v>579.12</v>
      </c>
      <c r="O53" s="4">
        <v>1</v>
      </c>
      <c r="P53" s="15">
        <f>INDEX(数值规划表!$B$32:$F$33,2,卡牌图鉴!O53)</f>
        <v>1</v>
      </c>
      <c r="Q53" s="15">
        <f>INDEX(数值规划表!$B$32:$F$33,1,卡牌图鉴!O53)</f>
        <v>1</v>
      </c>
      <c r="R53" s="4" t="s">
        <v>13</v>
      </c>
      <c r="S53" s="12">
        <v>4</v>
      </c>
      <c r="T53" s="15">
        <f>INDEX(名称表!$B$4:$B$7,MATCH(卡牌图鉴!R53,品质名称,0))</f>
        <v>3</v>
      </c>
      <c r="U53" s="15">
        <f>INDEX(数值规划表!$L$30:$M$33,MATCH(卡牌图鉴!R53,品质名称,0),2)</f>
        <v>1.25</v>
      </c>
      <c r="V53" s="15">
        <f>INDEX(数值规划表!$L$30:$M$33,MATCH(卡牌图鉴!R53,数值规划表!$K$30:$K$33,0),1)</f>
        <v>1.25</v>
      </c>
      <c r="W53" s="12">
        <v>0.8</v>
      </c>
      <c r="X53" s="12">
        <v>1</v>
      </c>
      <c r="Y53" s="12">
        <v>0.88</v>
      </c>
      <c r="Z53" s="12">
        <v>1.1399999999999999</v>
      </c>
      <c r="AA53" s="15">
        <f t="shared" si="1"/>
        <v>68.319999999999993</v>
      </c>
      <c r="AB53" s="15">
        <f t="shared" si="2"/>
        <v>1006.8</v>
      </c>
      <c r="AC53" s="12" t="s">
        <v>1930</v>
      </c>
      <c r="AD53" s="15">
        <f t="shared" si="3"/>
        <v>8</v>
      </c>
      <c r="AE53" s="12"/>
      <c r="AF53" s="12">
        <f>INDEX(产销规划表!$B$20:$F$20,1,卡牌图鉴!S53)</f>
        <v>55</v>
      </c>
      <c r="AG53" s="4"/>
      <c r="AH53" s="8" t="s">
        <v>2348</v>
      </c>
      <c r="AI53" s="4"/>
      <c r="AJ53" s="4"/>
      <c r="AK53" s="4"/>
      <c r="AL53" s="4"/>
    </row>
    <row r="54" spans="1:38" ht="99.95" customHeight="1" x14ac:dyDescent="0.15">
      <c r="A54" s="9">
        <v>6</v>
      </c>
      <c r="B54" s="8" t="s">
        <v>2180</v>
      </c>
      <c r="C54" s="12">
        <v>2088</v>
      </c>
      <c r="D54" s="4"/>
      <c r="E54" s="12" t="s">
        <v>51</v>
      </c>
      <c r="F54" s="15">
        <f>INDEX(数值规划表!$H$16:$J$122,MATCH(卡牌图鉴!E54,数值规划表!$F$16:$F$21,0),1)</f>
        <v>1</v>
      </c>
      <c r="G54" s="15">
        <f>INDEX(数值规划表!$H$16:$J$21,MATCH(卡牌图鉴!E54,数值规划表!$F$16:$F$21,0),2)</f>
        <v>1</v>
      </c>
      <c r="H54" s="15">
        <f>INDEX(数值规划表!$J$16:$J$21,MATCH(卡牌图鉴!E54,数值规划表!$F$16:$F$21,0))</f>
        <v>1.4</v>
      </c>
      <c r="I54" s="12" t="s">
        <v>85</v>
      </c>
      <c r="J54" s="15">
        <f>INDEX(数值规划表!$B$7:$J$7,MATCH(卡牌图鉴!I54,数值规划表!$B$4:$J$4,0))</f>
        <v>1.2</v>
      </c>
      <c r="K54" s="4">
        <v>4</v>
      </c>
      <c r="L54" s="12">
        <v>4</v>
      </c>
      <c r="M54" s="15">
        <f>INDEX(数值规划表!$E$45:$M$54,MATCH(卡牌图鉴!K54,数值规划表!$A$45:$A$54,0),MATCH(卡牌图鉴!I54,数值规划表!$E$44:$M$44,0))</f>
        <v>58.38</v>
      </c>
      <c r="N54" s="15">
        <f>INDEX(数值规划表!$N$45:$V$54,MATCH(卡牌图鉴!K54,数值规划表!$A$45:$A$54,0),MATCH(卡牌图鉴!I54,数值规划表!$E$44:$M$44,0))</f>
        <v>469.99</v>
      </c>
      <c r="O54" s="4">
        <v>1</v>
      </c>
      <c r="P54" s="15">
        <f>INDEX(数值规划表!$B$32:$F$33,2,卡牌图鉴!O54)</f>
        <v>1</v>
      </c>
      <c r="Q54" s="15">
        <f>INDEX(数值规划表!$B$32:$F$33,1,卡牌图鉴!O54)</f>
        <v>1</v>
      </c>
      <c r="R54" s="12" t="s">
        <v>13</v>
      </c>
      <c r="S54" s="12">
        <v>3</v>
      </c>
      <c r="T54" s="15">
        <f>INDEX(名称表!$B$4:$B$7,MATCH(卡牌图鉴!R54,品质名称,0))</f>
        <v>3</v>
      </c>
      <c r="U54" s="15">
        <f>INDEX(数值规划表!$L$30:$M$33,MATCH(卡牌图鉴!R54,品质名称,0),2)</f>
        <v>1.25</v>
      </c>
      <c r="V54" s="15">
        <f>INDEX(数值规划表!$L$30:$M$33,MATCH(卡牌图鉴!R54,数值规划表!$K$30:$K$33,0),1)</f>
        <v>1.25</v>
      </c>
      <c r="W54" s="12">
        <v>1</v>
      </c>
      <c r="X54" s="12">
        <v>1</v>
      </c>
      <c r="Y54" s="12">
        <v>1</v>
      </c>
      <c r="Z54" s="12">
        <v>1</v>
      </c>
      <c r="AA54" s="15">
        <f>ROUND(F54*M54*P54*U54*W54*Y54,2)</f>
        <v>72.98</v>
      </c>
      <c r="AB54" s="15">
        <f>ROUND(N54*G54*Q54*V54*X54*Z54,2)</f>
        <v>587.49</v>
      </c>
      <c r="AC54" s="12" t="s">
        <v>1930</v>
      </c>
      <c r="AD54" s="15">
        <f>INDEX(寻敌范围值,MATCH(AC54,寻敌范围,0))</f>
        <v>8</v>
      </c>
      <c r="AE54" s="12"/>
      <c r="AF54" s="12">
        <f>INDEX(产销规划表!$B$20:$F$20,1,卡牌图鉴!S54)</f>
        <v>185</v>
      </c>
      <c r="AG54" s="4"/>
      <c r="AH54" s="4"/>
      <c r="AI54" s="4"/>
      <c r="AJ54" s="4"/>
      <c r="AK54" s="4"/>
      <c r="AL54" s="4"/>
    </row>
    <row r="55" spans="1:38" ht="99.95" customHeight="1" x14ac:dyDescent="0.15">
      <c r="A55" s="9">
        <v>6</v>
      </c>
      <c r="B55" s="8" t="s">
        <v>2183</v>
      </c>
      <c r="C55" s="12">
        <v>2075</v>
      </c>
      <c r="D55" s="4"/>
      <c r="E55" s="12" t="s">
        <v>51</v>
      </c>
      <c r="F55" s="15">
        <f>INDEX(数值规划表!$H$16:$J$122,MATCH(卡牌图鉴!E55,数值规划表!$F$16:$F$21,0),1)</f>
        <v>1</v>
      </c>
      <c r="G55" s="15">
        <f>INDEX(数值规划表!$H$16:$J$21,MATCH(卡牌图鉴!E55,数值规划表!$F$16:$F$21,0),2)</f>
        <v>1</v>
      </c>
      <c r="H55" s="15">
        <f>INDEX(数值规划表!$J$16:$J$21,MATCH(卡牌图鉴!E55,数值规划表!$F$16:$F$21,0))</f>
        <v>1.4</v>
      </c>
      <c r="I55" s="12" t="s">
        <v>131</v>
      </c>
      <c r="J55" s="15">
        <f>INDEX(数值规划表!$B$7:$J$7,MATCH(卡牌图鉴!I55,数值规划表!$B$4:$J$4,0))</f>
        <v>5</v>
      </c>
      <c r="K55" s="4">
        <v>3</v>
      </c>
      <c r="L55" s="12">
        <v>3</v>
      </c>
      <c r="M55" s="15">
        <f>INDEX(数值规划表!$E$45:$M$54,MATCH(卡牌图鉴!K55,数值规划表!$A$45:$A$54,0),MATCH(卡牌图鉴!I55,数值规划表!$E$44:$M$44,0))</f>
        <v>47.15</v>
      </c>
      <c r="N55" s="15">
        <f>INDEX(数值规划表!$N$45:$V$54,MATCH(卡牌图鉴!K55,数值规划表!$A$45:$A$54,0),MATCH(卡牌图鉴!I55,数值规划表!$E$44:$M$44,0))</f>
        <v>163.62</v>
      </c>
      <c r="O55" s="4">
        <v>1</v>
      </c>
      <c r="P55" s="15">
        <f>INDEX(数值规划表!$B$32:$F$33,2,卡牌图鉴!O55)</f>
        <v>1</v>
      </c>
      <c r="Q55" s="15">
        <f>INDEX(数值规划表!$B$32:$F$33,1,卡牌图鉴!O55)</f>
        <v>1</v>
      </c>
      <c r="R55" s="12" t="s">
        <v>36</v>
      </c>
      <c r="S55" s="12">
        <v>1</v>
      </c>
      <c r="T55" s="15">
        <f>INDEX(名称表!$B$4:$B$7,MATCH(卡牌图鉴!R55,品质名称,0))</f>
        <v>1</v>
      </c>
      <c r="U55" s="15">
        <f>INDEX(数值规划表!$L$30:$M$33,MATCH(卡牌图鉴!R55,品质名称,0),2)</f>
        <v>1</v>
      </c>
      <c r="V55" s="15">
        <f>INDEX(数值规划表!$L$30:$M$33,MATCH(卡牌图鉴!R55,数值规划表!$K$30:$K$33,0),1)</f>
        <v>1</v>
      </c>
      <c r="W55" s="12">
        <v>1</v>
      </c>
      <c r="X55" s="12">
        <v>1</v>
      </c>
      <c r="Y55" s="12">
        <v>1</v>
      </c>
      <c r="Z55" s="12">
        <v>1</v>
      </c>
      <c r="AA55" s="15">
        <f>ROUND(F55*M55*P55*U55*W55*Y55,2)</f>
        <v>47.15</v>
      </c>
      <c r="AB55" s="15">
        <f>ROUND(N55*G55*Q55*V55*X55*Z55,2)</f>
        <v>163.62</v>
      </c>
      <c r="AC55" s="12" t="s">
        <v>1930</v>
      </c>
      <c r="AD55" s="15">
        <f>INDEX(寻敌范围值,MATCH(AC55,寻敌范围,0))</f>
        <v>8</v>
      </c>
      <c r="AE55" s="12"/>
      <c r="AF55" s="12">
        <f>INDEX(产销规划表!$B$20:$F$20,1,卡牌图鉴!S55)</f>
        <v>505</v>
      </c>
      <c r="AG55" s="4"/>
      <c r="AH55" s="8" t="s">
        <v>2702</v>
      </c>
      <c r="AI55" s="4"/>
      <c r="AJ55" s="4"/>
      <c r="AK55" s="4"/>
      <c r="AL55" s="4"/>
    </row>
    <row r="56" spans="1:38" s="70" customFormat="1" ht="99.95" customHeight="1" x14ac:dyDescent="0.15">
      <c r="A56" s="9">
        <v>6</v>
      </c>
      <c r="B56" s="8" t="s">
        <v>2916</v>
      </c>
      <c r="C56" s="12">
        <v>2099</v>
      </c>
      <c r="D56" s="12"/>
      <c r="E56" s="12" t="s">
        <v>51</v>
      </c>
      <c r="F56" s="15">
        <f>INDEX(数值规划表!$H$16:$J$122,MATCH(卡牌图鉴!E56,数值规划表!$F$16:$F$21,0),1)</f>
        <v>1</v>
      </c>
      <c r="G56" s="15">
        <f>INDEX(数值规划表!$H$16:$J$21,MATCH(卡牌图鉴!E56,数值规划表!$F$16:$F$21,0),2)</f>
        <v>1</v>
      </c>
      <c r="H56" s="15">
        <f>INDEX(数值规划表!$J$16:$J$21,MATCH(卡牌图鉴!E56,数值规划表!$F$16:$F$21,0))</f>
        <v>1.4</v>
      </c>
      <c r="I56" s="12" t="s">
        <v>1323</v>
      </c>
      <c r="J56" s="15">
        <f>INDEX(数值规划表!$B$7:$J$7,MATCH(卡牌图鉴!I56,数值规划表!$B$4:$J$4,0))</f>
        <v>6</v>
      </c>
      <c r="K56" s="12">
        <v>2</v>
      </c>
      <c r="L56" s="12">
        <v>2</v>
      </c>
      <c r="M56" s="15">
        <f>INDEX(数值规划表!$E$45:$M$54,MATCH(卡牌图鉴!K56,数值规划表!$A$45:$A$54,0),MATCH(卡牌图鉴!I56,数值规划表!$E$44:$M$44,0))</f>
        <v>38.35</v>
      </c>
      <c r="N56" s="15">
        <f>INDEX(数值规划表!$N$45:$V$54,MATCH(卡牌图鉴!K56,数值规划表!$A$45:$A$54,0),MATCH(卡牌图鉴!I56,数值规划表!$E$44:$M$44,0))</f>
        <v>97.79</v>
      </c>
      <c r="O56" s="12">
        <v>1</v>
      </c>
      <c r="P56" s="15">
        <f>INDEX(数值规划表!$B$32:$F$33,2,卡牌图鉴!O56)</f>
        <v>1</v>
      </c>
      <c r="Q56" s="15">
        <f>INDEX(数值规划表!$B$32:$F$33,1,卡牌图鉴!O56)</f>
        <v>1</v>
      </c>
      <c r="R56" s="12" t="s">
        <v>36</v>
      </c>
      <c r="S56" s="12">
        <v>1</v>
      </c>
      <c r="T56" s="15">
        <f>INDEX(名称表!$B$4:$B$7,MATCH(卡牌图鉴!R56,品质名称,0))</f>
        <v>1</v>
      </c>
      <c r="U56" s="15">
        <f>INDEX(数值规划表!$L$30:$M$33,MATCH(卡牌图鉴!R56,品质名称,0),2)</f>
        <v>1</v>
      </c>
      <c r="V56" s="15">
        <f>INDEX(数值规划表!$L$30:$M$33,MATCH(卡牌图鉴!R56,数值规划表!$K$30:$K$33,0),1)</f>
        <v>1</v>
      </c>
      <c r="W56" s="12">
        <v>1</v>
      </c>
      <c r="X56" s="12">
        <v>1</v>
      </c>
      <c r="Y56" s="12">
        <v>1</v>
      </c>
      <c r="Z56" s="12">
        <v>1</v>
      </c>
      <c r="AA56" s="15">
        <f t="shared" ref="AA56:AA57" si="7">ROUND(F56*M56*P56*U56*W56*Y56,2)</f>
        <v>38.35</v>
      </c>
      <c r="AB56" s="15">
        <f t="shared" ref="AB56:AB57" si="8">ROUND(N56*G56*Q56*V56*X56*Z56,2)</f>
        <v>97.79</v>
      </c>
      <c r="AC56" s="12" t="s">
        <v>1930</v>
      </c>
      <c r="AD56" s="15">
        <f>INDEX(寻敌范围值,MATCH(AC56,寻敌范围,0))</f>
        <v>8</v>
      </c>
      <c r="AE56" s="12"/>
      <c r="AF56" s="12">
        <f>INDEX(产销规划表!$B$20:$F$20,1,卡牌图鉴!S56)</f>
        <v>505</v>
      </c>
      <c r="AG56" s="12"/>
      <c r="AH56" s="8"/>
      <c r="AI56" s="12"/>
      <c r="AJ56" s="12"/>
      <c r="AK56" s="12"/>
      <c r="AL56" s="12"/>
    </row>
    <row r="57" spans="1:38" s="70" customFormat="1" ht="99.95" customHeight="1" x14ac:dyDescent="0.15">
      <c r="A57" s="9">
        <v>6</v>
      </c>
      <c r="B57" s="8" t="s">
        <v>2917</v>
      </c>
      <c r="C57" s="12">
        <v>2110</v>
      </c>
      <c r="D57" s="12"/>
      <c r="E57" s="12" t="s">
        <v>51</v>
      </c>
      <c r="F57" s="15">
        <f>INDEX(数值规划表!$H$16:$J$122,MATCH(卡牌图鉴!E57,数值规划表!$F$16:$F$21,0),1)</f>
        <v>1</v>
      </c>
      <c r="G57" s="15">
        <f>INDEX(数值规划表!$H$16:$J$21,MATCH(卡牌图鉴!E57,数值规划表!$F$16:$F$21,0),2)</f>
        <v>1</v>
      </c>
      <c r="H57" s="15">
        <f>INDEX(数值规划表!$J$16:$J$21,MATCH(卡牌图鉴!E57,数值规划表!$F$16:$F$21,0))</f>
        <v>1.4</v>
      </c>
      <c r="I57" s="12" t="s">
        <v>85</v>
      </c>
      <c r="J57" s="15">
        <f>INDEX(数值规划表!$B$7:$J$7,MATCH(卡牌图鉴!I57,数值规划表!$B$4:$J$4,0))</f>
        <v>1.2</v>
      </c>
      <c r="K57" s="12">
        <v>3</v>
      </c>
      <c r="L57" s="12">
        <v>3</v>
      </c>
      <c r="M57" s="15">
        <f>INDEX(数值规划表!$E$45:$M$54,MATCH(卡牌图鉴!K57,数值规划表!$A$45:$A$54,0),MATCH(卡牌图鉴!I57,数值规划表!$E$44:$M$44,0))</f>
        <v>51.77</v>
      </c>
      <c r="N57" s="15">
        <f>INDEX(数值规划表!$N$45:$V$54,MATCH(卡牌图鉴!K57,数值规划表!$A$45:$A$54,0),MATCH(卡牌图鉴!I57,数值规划表!$E$44:$M$44,0))</f>
        <v>362.38</v>
      </c>
      <c r="O57" s="12">
        <v>2</v>
      </c>
      <c r="P57" s="15">
        <f>INDEX(数值规划表!$B$32:$F$33,2,卡牌图鉴!O57)</f>
        <v>0.7</v>
      </c>
      <c r="Q57" s="15">
        <f>INDEX(数值规划表!$B$32:$F$33,1,卡牌图鉴!O57)</f>
        <v>0.56999999999999995</v>
      </c>
      <c r="R57" s="12" t="s">
        <v>36</v>
      </c>
      <c r="S57" s="12">
        <v>1</v>
      </c>
      <c r="T57" s="15">
        <f>INDEX(名称表!$B$4:$B$7,MATCH(卡牌图鉴!R57,品质名称,0))</f>
        <v>1</v>
      </c>
      <c r="U57" s="15">
        <f>INDEX(数值规划表!$L$30:$M$33,MATCH(卡牌图鉴!R57,品质名称,0),2)</f>
        <v>1</v>
      </c>
      <c r="V57" s="15">
        <f>INDEX(数值规划表!$L$30:$M$33,MATCH(卡牌图鉴!R57,数值规划表!$K$30:$K$33,0),1)</f>
        <v>1</v>
      </c>
      <c r="W57" s="12">
        <v>1</v>
      </c>
      <c r="X57" s="12">
        <v>1</v>
      </c>
      <c r="Y57" s="12">
        <v>1</v>
      </c>
      <c r="Z57" s="12">
        <v>1</v>
      </c>
      <c r="AA57" s="15">
        <f t="shared" si="7"/>
        <v>36.24</v>
      </c>
      <c r="AB57" s="15">
        <f t="shared" si="8"/>
        <v>206.56</v>
      </c>
      <c r="AC57" s="12" t="s">
        <v>1930</v>
      </c>
      <c r="AD57" s="15">
        <f>INDEX(寻敌范围值,MATCH(AC57,寻敌范围,0))</f>
        <v>8</v>
      </c>
      <c r="AE57" s="12"/>
      <c r="AF57" s="12">
        <f>INDEX(产销规划表!$B$20:$F$20,1,卡牌图鉴!S57)</f>
        <v>505</v>
      </c>
      <c r="AG57" s="12"/>
      <c r="AH57" s="8"/>
      <c r="AI57" s="12"/>
      <c r="AJ57" s="12"/>
      <c r="AK57" s="12"/>
      <c r="AL57" s="12"/>
    </row>
    <row r="58" spans="1:38" ht="99.95" customHeight="1" x14ac:dyDescent="0.15">
      <c r="A58" s="9">
        <v>6</v>
      </c>
      <c r="B58" s="8" t="s">
        <v>2184</v>
      </c>
      <c r="C58" s="53">
        <v>2062</v>
      </c>
      <c r="D58" s="4"/>
      <c r="E58" s="12" t="s">
        <v>51</v>
      </c>
      <c r="F58" s="15">
        <f>INDEX(数值规划表!$H$16:$J$122,MATCH(卡牌图鉴!E58,数值规划表!$F$16:$F$21,0),1)</f>
        <v>1</v>
      </c>
      <c r="G58" s="15">
        <f>INDEX(数值规划表!$H$16:$J$21,MATCH(卡牌图鉴!E58,数值规划表!$F$16:$F$21,0),2)</f>
        <v>1</v>
      </c>
      <c r="H58" s="15">
        <f>INDEX(数值规划表!$J$16:$J$21,MATCH(卡牌图鉴!E58,数值规划表!$F$16:$F$21,0))</f>
        <v>1.4</v>
      </c>
      <c r="I58" s="12" t="s">
        <v>85</v>
      </c>
      <c r="J58" s="15">
        <f>INDEX(数值规划表!$B$7:$J$7,MATCH(卡牌图鉴!I58,数值规划表!$B$4:$J$4,0))</f>
        <v>1.2</v>
      </c>
      <c r="K58" s="4">
        <v>8</v>
      </c>
      <c r="L58" s="12">
        <v>8</v>
      </c>
      <c r="M58" s="15">
        <f>INDEX(数值规划表!$E$45:$M$54,MATCH(卡牌图鉴!K58,数值规划表!$A$45:$A$54,0),MATCH(卡牌图鉴!I58,数值规划表!$E$44:$M$44,0))</f>
        <v>74.83</v>
      </c>
      <c r="N58" s="15">
        <f>INDEX(数值规划表!$N$45:$V$54,MATCH(卡牌图鉴!K58,数值规划表!$A$45:$A$54,0),MATCH(卡牌图鉴!I58,数值规划表!$E$44:$M$44,0))</f>
        <v>916.71</v>
      </c>
      <c r="O58" s="4">
        <v>1</v>
      </c>
      <c r="P58" s="15">
        <f>INDEX(数值规划表!$B$32:$F$33,2,卡牌图鉴!O58)</f>
        <v>1</v>
      </c>
      <c r="Q58" s="15">
        <f>INDEX(数值规划表!$B$32:$F$33,1,卡牌图鉴!O58)</f>
        <v>1</v>
      </c>
      <c r="R58" s="12" t="s">
        <v>35</v>
      </c>
      <c r="S58" s="12">
        <v>4</v>
      </c>
      <c r="T58" s="15">
        <f>INDEX(名称表!$B$4:$B$7,MATCH(卡牌图鉴!R58,品质名称,0))</f>
        <v>4</v>
      </c>
      <c r="U58" s="15">
        <f>INDEX(数值规划表!$L$30:$M$33,MATCH(卡牌图鉴!R58,品质名称,0),2)</f>
        <v>1.5</v>
      </c>
      <c r="V58" s="15">
        <f>INDEX(数值规划表!$L$30:$M$33,MATCH(卡牌图鉴!R58,数值规划表!$K$30:$K$33,0),1)</f>
        <v>1.5</v>
      </c>
      <c r="W58" s="12">
        <v>0.9</v>
      </c>
      <c r="X58" s="12">
        <v>1</v>
      </c>
      <c r="Y58" s="12">
        <v>1</v>
      </c>
      <c r="Z58" s="12">
        <v>1</v>
      </c>
      <c r="AA58" s="15">
        <f t="shared" si="1"/>
        <v>101.02</v>
      </c>
      <c r="AB58" s="15">
        <f>ROUND(N58*G58*Q58*V58*X58*Z58,2)</f>
        <v>1375.07</v>
      </c>
      <c r="AC58" s="12" t="s">
        <v>1930</v>
      </c>
      <c r="AD58" s="15">
        <f>INDEX(寻敌范围值,MATCH(AC58,寻敌范围,0))</f>
        <v>8</v>
      </c>
      <c r="AE58" s="12"/>
      <c r="AF58" s="12">
        <f>INDEX(产销规划表!$B$20:$F$20,1,卡牌图鉴!S58)</f>
        <v>55</v>
      </c>
      <c r="AG58" s="4"/>
      <c r="AH58" s="8" t="s">
        <v>2899</v>
      </c>
      <c r="AI58" s="4"/>
      <c r="AJ58" s="4"/>
      <c r="AK58" s="4"/>
      <c r="AL58" s="4"/>
    </row>
    <row r="59" spans="1:38" ht="99.95" customHeight="1" x14ac:dyDescent="0.15">
      <c r="A59" s="9">
        <v>6</v>
      </c>
      <c r="B59" s="8" t="s">
        <v>2026</v>
      </c>
      <c r="C59" s="12"/>
      <c r="D59" s="4"/>
      <c r="E59" s="4"/>
      <c r="F59" s="15" t="e">
        <f>INDEX(数值规划表!$H$16:$J$122,MATCH(卡牌图鉴!E59,数值规划表!$F$16:$F$21,0),1)</f>
        <v>#N/A</v>
      </c>
      <c r="G59" s="15" t="e">
        <f>INDEX(数值规划表!$H$16:$J$21,MATCH(卡牌图鉴!E59,数值规划表!$F$16:$F$21,0),2)</f>
        <v>#N/A</v>
      </c>
      <c r="H59" s="15" t="e">
        <f>INDEX(数值规划表!$J$16:$J$21,MATCH(卡牌图鉴!E59,数值规划表!$F$16:$F$21,0))</f>
        <v>#N/A</v>
      </c>
      <c r="I59" s="4"/>
      <c r="J59" s="15" t="e">
        <f>INDEX(数值规划表!$B$7:$J$7,MATCH(卡牌图鉴!I59,数值规划表!$B$4:$J$4,0))</f>
        <v>#N/A</v>
      </c>
      <c r="K59" s="4"/>
      <c r="L59" s="12"/>
      <c r="M59" s="15" t="e">
        <f>INDEX(数值规划表!$E$45:$M$54,MATCH(卡牌图鉴!K59,数值规划表!$A$45:$A$54,0),MATCH(卡牌图鉴!I59,数值规划表!$E$44:$M$44,0))</f>
        <v>#N/A</v>
      </c>
      <c r="N59" s="15" t="e">
        <f>INDEX(数值规划表!$N$45:$V$54,MATCH(卡牌图鉴!K59,数值规划表!$A$45:$A$54,0),MATCH(卡牌图鉴!I59,数值规划表!$E$44:$M$44,0))</f>
        <v>#N/A</v>
      </c>
      <c r="O59" s="4">
        <v>1</v>
      </c>
      <c r="P59" s="15">
        <f>INDEX(数值规划表!$B$32:$F$33,2,卡牌图鉴!O59)</f>
        <v>1</v>
      </c>
      <c r="Q59" s="15">
        <f>INDEX(数值规划表!$B$32:$F$33,1,卡牌图鉴!O59)</f>
        <v>1</v>
      </c>
      <c r="R59" s="12" t="s">
        <v>36</v>
      </c>
      <c r="S59" s="12"/>
      <c r="T59" s="15">
        <f>INDEX(名称表!$B$4:$B$7,MATCH(卡牌图鉴!R59,品质名称,0))</f>
        <v>1</v>
      </c>
      <c r="U59" s="15"/>
      <c r="V59" s="15"/>
      <c r="W59" s="12">
        <v>1</v>
      </c>
      <c r="X59" s="12">
        <v>1</v>
      </c>
      <c r="Y59" s="12">
        <v>1</v>
      </c>
      <c r="Z59" s="12">
        <v>1</v>
      </c>
      <c r="AA59" s="15" t="e">
        <f t="shared" si="1"/>
        <v>#N/A</v>
      </c>
      <c r="AB59" s="15" t="e">
        <f t="shared" si="2"/>
        <v>#N/A</v>
      </c>
      <c r="AC59" s="4"/>
      <c r="AD59" s="15" t="e">
        <f t="shared" si="3"/>
        <v>#N/A</v>
      </c>
      <c r="AE59" s="12"/>
      <c r="AF59" s="12" t="e">
        <f>INDEX(产销规划表!$B$20:$F$20,1,卡牌图鉴!S59)</f>
        <v>#VALUE!</v>
      </c>
      <c r="AG59" s="4"/>
      <c r="AH59" s="4"/>
      <c r="AI59" s="4"/>
      <c r="AJ59" s="4"/>
      <c r="AK59" s="4"/>
      <c r="AL59" s="4"/>
    </row>
    <row r="60" spans="1:38" ht="99.95" customHeight="1" x14ac:dyDescent="0.15">
      <c r="B60" s="8" t="s">
        <v>2181</v>
      </c>
      <c r="C60" s="12"/>
      <c r="D60" s="4"/>
      <c r="E60" s="4"/>
      <c r="F60" s="15" t="e">
        <f>INDEX(数值规划表!$H$16:$J$122,MATCH(卡牌图鉴!E60,数值规划表!$F$16:$F$21,0),1)</f>
        <v>#N/A</v>
      </c>
      <c r="G60" s="15" t="e">
        <f>INDEX(数值规划表!$H$16:$J$21,MATCH(卡牌图鉴!E60,数值规划表!$F$16:$F$21,0),2)</f>
        <v>#N/A</v>
      </c>
      <c r="H60" s="15" t="e">
        <f>INDEX(数值规划表!$J$16:$J$21,MATCH(卡牌图鉴!E60,数值规划表!$F$16:$F$21,0))</f>
        <v>#N/A</v>
      </c>
      <c r="I60" s="4"/>
      <c r="J60" s="15" t="e">
        <f>INDEX(数值规划表!$B$7:$J$7,MATCH(卡牌图鉴!I60,数值规划表!$B$4:$J$4,0))</f>
        <v>#N/A</v>
      </c>
      <c r="K60" s="4"/>
      <c r="L60" s="12"/>
      <c r="M60" s="15" t="e">
        <f>INDEX(数值规划表!$E$45:$M$54,MATCH(卡牌图鉴!K60,数值规划表!$A$45:$A$54,0),MATCH(卡牌图鉴!I60,数值规划表!$E$44:$M$44,0))</f>
        <v>#N/A</v>
      </c>
      <c r="N60" s="15" t="e">
        <f>INDEX(数值规划表!$N$45:$V$54,MATCH(卡牌图鉴!K60,数值规划表!$A$45:$A$54,0),MATCH(卡牌图鉴!I60,数值规划表!$E$44:$M$44,0))</f>
        <v>#N/A</v>
      </c>
      <c r="O60" s="4">
        <v>1</v>
      </c>
      <c r="P60" s="15">
        <f>INDEX(数值规划表!$B$32:$F$33,2,卡牌图鉴!O60)</f>
        <v>1</v>
      </c>
      <c r="Q60" s="15">
        <f>INDEX(数值规划表!$B$32:$F$33,1,卡牌图鉴!O60)</f>
        <v>1</v>
      </c>
      <c r="R60" s="12" t="s">
        <v>35</v>
      </c>
      <c r="S60" s="12"/>
      <c r="T60" s="15">
        <f>INDEX(名称表!$B$4:$B$7,MATCH(卡牌图鉴!R60,品质名称,0))</f>
        <v>4</v>
      </c>
      <c r="U60" s="15"/>
      <c r="V60" s="15"/>
      <c r="W60" s="12">
        <v>1</v>
      </c>
      <c r="X60" s="12">
        <v>1</v>
      </c>
      <c r="Y60" s="12">
        <v>1</v>
      </c>
      <c r="Z60" s="12">
        <v>1</v>
      </c>
      <c r="AA60" s="15" t="e">
        <f t="shared" si="1"/>
        <v>#N/A</v>
      </c>
      <c r="AB60" s="15" t="e">
        <f t="shared" si="2"/>
        <v>#N/A</v>
      </c>
      <c r="AC60" s="4"/>
      <c r="AD60" s="15" t="e">
        <f t="shared" si="3"/>
        <v>#N/A</v>
      </c>
      <c r="AE60" s="12"/>
      <c r="AF60" s="12" t="e">
        <f>INDEX(产销规划表!$B$20:$F$20,1,卡牌图鉴!S60)</f>
        <v>#VALUE!</v>
      </c>
      <c r="AG60" s="4"/>
      <c r="AH60" s="4"/>
      <c r="AI60" s="4"/>
      <c r="AJ60" s="4"/>
      <c r="AK60" s="4"/>
      <c r="AL60" s="4"/>
    </row>
    <row r="61" spans="1:38" ht="99.95" customHeight="1" x14ac:dyDescent="0.15">
      <c r="B61" s="8" t="s">
        <v>2182</v>
      </c>
      <c r="C61" s="12"/>
      <c r="D61" s="4"/>
      <c r="E61" s="4"/>
      <c r="F61" s="15" t="e">
        <f>INDEX(数值规划表!$H$16:$J$122,MATCH(卡牌图鉴!E61,数值规划表!$F$16:$F$21,0),1)</f>
        <v>#N/A</v>
      </c>
      <c r="G61" s="15" t="e">
        <f>INDEX(数值规划表!$H$16:$J$21,MATCH(卡牌图鉴!E61,数值规划表!$F$16:$F$21,0),2)</f>
        <v>#N/A</v>
      </c>
      <c r="H61" s="15" t="e">
        <f>INDEX(数值规划表!$J$16:$J$21,MATCH(卡牌图鉴!E61,数值规划表!$F$16:$F$21,0))</f>
        <v>#N/A</v>
      </c>
      <c r="I61" s="4"/>
      <c r="J61" s="15" t="e">
        <f>INDEX(数值规划表!$B$7:$J$7,MATCH(卡牌图鉴!I61,数值规划表!$B$4:$J$4,0))</f>
        <v>#N/A</v>
      </c>
      <c r="K61" s="4"/>
      <c r="L61" s="12"/>
      <c r="M61" s="15" t="e">
        <f>INDEX(数值规划表!$E$45:$M$54,MATCH(卡牌图鉴!K61,数值规划表!$A$45:$A$54,0),MATCH(卡牌图鉴!I61,数值规划表!$E$44:$M$44,0))</f>
        <v>#N/A</v>
      </c>
      <c r="N61" s="15" t="e">
        <f>INDEX(数值规划表!$N$45:$V$54,MATCH(卡牌图鉴!K61,数值规划表!$A$45:$A$54,0),MATCH(卡牌图鉴!I61,数值规划表!$E$44:$M$44,0))</f>
        <v>#N/A</v>
      </c>
      <c r="O61" s="4">
        <v>1</v>
      </c>
      <c r="P61" s="15">
        <f>INDEX(数值规划表!$B$32:$F$33,2,卡牌图鉴!O61)</f>
        <v>1</v>
      </c>
      <c r="Q61" s="15">
        <f>INDEX(数值规划表!$B$32:$F$33,1,卡牌图鉴!O61)</f>
        <v>1</v>
      </c>
      <c r="R61" s="12" t="s">
        <v>35</v>
      </c>
      <c r="S61" s="12"/>
      <c r="T61" s="15">
        <f>INDEX(名称表!$B$4:$B$7,MATCH(卡牌图鉴!R61,品质名称,0))</f>
        <v>4</v>
      </c>
      <c r="U61" s="15"/>
      <c r="V61" s="15"/>
      <c r="W61" s="12">
        <v>1</v>
      </c>
      <c r="X61" s="12">
        <v>1</v>
      </c>
      <c r="Y61" s="12">
        <v>1</v>
      </c>
      <c r="Z61" s="12">
        <v>1</v>
      </c>
      <c r="AA61" s="15" t="e">
        <f t="shared" si="1"/>
        <v>#N/A</v>
      </c>
      <c r="AB61" s="15" t="e">
        <f t="shared" si="2"/>
        <v>#N/A</v>
      </c>
      <c r="AC61" s="4"/>
      <c r="AD61" s="15" t="e">
        <f t="shared" si="3"/>
        <v>#N/A</v>
      </c>
      <c r="AE61" s="12"/>
      <c r="AF61" s="12" t="e">
        <f>INDEX(产销规划表!$B$20:$F$20,1,卡牌图鉴!S61)</f>
        <v>#VALUE!</v>
      </c>
      <c r="AG61" s="4"/>
      <c r="AH61" s="4"/>
      <c r="AI61" s="4"/>
      <c r="AJ61" s="4"/>
      <c r="AK61" s="4"/>
      <c r="AL61" s="4"/>
    </row>
    <row r="62" spans="1:38" ht="99.95" customHeight="1" x14ac:dyDescent="0.15">
      <c r="B62" s="4"/>
      <c r="C62" s="12"/>
      <c r="D62" s="4"/>
      <c r="E62" s="4"/>
      <c r="F62" s="15" t="e">
        <f>INDEX(数值规划表!$H$16:$J$122,MATCH(卡牌图鉴!E62,数值规划表!$F$16:$F$21,0),1)</f>
        <v>#N/A</v>
      </c>
      <c r="G62" s="15" t="e">
        <f>INDEX(数值规划表!$H$16:$J$21,MATCH(卡牌图鉴!E62,数值规划表!$F$16:$F$21,0),2)</f>
        <v>#N/A</v>
      </c>
      <c r="H62" s="15" t="e">
        <f>INDEX(数值规划表!$J$16:$J$21,MATCH(卡牌图鉴!E62,数值规划表!$F$16:$F$21,0))</f>
        <v>#N/A</v>
      </c>
      <c r="I62" s="4"/>
      <c r="J62" s="15" t="e">
        <f>INDEX(数值规划表!$B$7:$J$7,MATCH(卡牌图鉴!I62,数值规划表!$B$4:$J$4,0))</f>
        <v>#N/A</v>
      </c>
      <c r="K62" s="4"/>
      <c r="L62" s="12"/>
      <c r="M62" s="15" t="e">
        <f>INDEX(数值规划表!$E$45:$M$54,MATCH(卡牌图鉴!K62,数值规划表!$A$45:$A$54,0),MATCH(卡牌图鉴!I62,数值规划表!$E$44:$M$44,0))</f>
        <v>#N/A</v>
      </c>
      <c r="N62" s="15" t="e">
        <f>INDEX(数值规划表!$N$45:$V$54,MATCH(卡牌图鉴!K62,数值规划表!$A$45:$A$54,0),MATCH(卡牌图鉴!I62,数值规划表!$E$44:$M$44,0))</f>
        <v>#N/A</v>
      </c>
      <c r="O62" s="4">
        <v>1</v>
      </c>
      <c r="P62" s="15">
        <f>INDEX(数值规划表!$B$32:$F$33,2,卡牌图鉴!O62)</f>
        <v>1</v>
      </c>
      <c r="Q62" s="15">
        <f>INDEX(数值规划表!$B$32:$F$33,1,卡牌图鉴!O62)</f>
        <v>1</v>
      </c>
      <c r="R62" s="4" t="s">
        <v>11</v>
      </c>
      <c r="S62" s="12"/>
      <c r="T62" s="15">
        <f>INDEX(名称表!$B$4:$B$7,MATCH(卡牌图鉴!R62,品质名称,0))</f>
        <v>5</v>
      </c>
      <c r="U62" s="15"/>
      <c r="V62" s="15"/>
      <c r="W62" s="12">
        <v>1</v>
      </c>
      <c r="X62" s="12">
        <v>1</v>
      </c>
      <c r="Y62" s="12">
        <v>1</v>
      </c>
      <c r="Z62" s="12">
        <v>1</v>
      </c>
      <c r="AA62" s="15" t="e">
        <f t="shared" si="1"/>
        <v>#N/A</v>
      </c>
      <c r="AB62" s="15" t="e">
        <f t="shared" si="2"/>
        <v>#N/A</v>
      </c>
      <c r="AC62" s="4"/>
      <c r="AD62" s="15" t="e">
        <f t="shared" si="3"/>
        <v>#N/A</v>
      </c>
      <c r="AE62" s="12"/>
      <c r="AF62" s="12" t="e">
        <f>INDEX(产销规划表!$B$20:$F$20,1,卡牌图鉴!S62)</f>
        <v>#VALUE!</v>
      </c>
      <c r="AG62" s="4"/>
      <c r="AH62" s="4"/>
      <c r="AI62" s="4"/>
      <c r="AJ62" s="4"/>
      <c r="AK62" s="4"/>
      <c r="AL62" s="4"/>
    </row>
    <row r="63" spans="1:38" ht="99.95" customHeight="1" x14ac:dyDescent="0.15">
      <c r="B63" s="4"/>
      <c r="C63" s="12"/>
      <c r="D63" s="4"/>
      <c r="E63" s="4"/>
      <c r="F63" s="15" t="e">
        <f>INDEX(数值规划表!$H$16:$J$122,MATCH(卡牌图鉴!E63,数值规划表!$F$16:$F$21,0),1)</f>
        <v>#N/A</v>
      </c>
      <c r="G63" s="15" t="e">
        <f>INDEX(数值规划表!$H$16:$J$21,MATCH(卡牌图鉴!E63,数值规划表!$F$16:$F$21,0),2)</f>
        <v>#N/A</v>
      </c>
      <c r="H63" s="15" t="e">
        <f>INDEX(数值规划表!$J$16:$J$21,MATCH(卡牌图鉴!E63,数值规划表!$F$16:$F$21,0))</f>
        <v>#N/A</v>
      </c>
      <c r="I63" s="4"/>
      <c r="J63" s="15" t="e">
        <f>INDEX(数值规划表!$B$7:$J$7,MATCH(卡牌图鉴!I63,数值规划表!$B$4:$J$4,0))</f>
        <v>#N/A</v>
      </c>
      <c r="K63" s="4"/>
      <c r="L63" s="12"/>
      <c r="M63" s="15" t="e">
        <f>INDEX(数值规划表!$E$45:$M$54,MATCH(卡牌图鉴!K63,数值规划表!$A$45:$A$54,0),MATCH(卡牌图鉴!I63,数值规划表!$E$44:$M$44,0))</f>
        <v>#N/A</v>
      </c>
      <c r="N63" s="15" t="e">
        <f>INDEX(数值规划表!$N$45:$V$54,MATCH(卡牌图鉴!K63,数值规划表!$A$45:$A$54,0),MATCH(卡牌图鉴!I63,数值规划表!$E$44:$M$44,0))</f>
        <v>#N/A</v>
      </c>
      <c r="O63" s="4">
        <v>1</v>
      </c>
      <c r="P63" s="15">
        <f>INDEX(数值规划表!$B$32:$F$33,2,卡牌图鉴!O63)</f>
        <v>1</v>
      </c>
      <c r="Q63" s="15">
        <f>INDEX(数值规划表!$B$32:$F$33,1,卡牌图鉴!O63)</f>
        <v>1</v>
      </c>
      <c r="R63" s="4" t="s">
        <v>11</v>
      </c>
      <c r="S63" s="12"/>
      <c r="T63" s="15">
        <f>INDEX(名称表!$B$4:$B$7,MATCH(卡牌图鉴!R63,品质名称,0))</f>
        <v>5</v>
      </c>
      <c r="U63" s="15"/>
      <c r="V63" s="15"/>
      <c r="W63" s="12">
        <v>1</v>
      </c>
      <c r="X63" s="12">
        <v>1</v>
      </c>
      <c r="Y63" s="12">
        <v>1</v>
      </c>
      <c r="Z63" s="12">
        <v>1</v>
      </c>
      <c r="AA63" s="15" t="e">
        <f t="shared" si="1"/>
        <v>#N/A</v>
      </c>
      <c r="AB63" s="15" t="e">
        <f t="shared" si="2"/>
        <v>#N/A</v>
      </c>
      <c r="AC63" s="4"/>
      <c r="AD63" s="15" t="e">
        <f t="shared" si="3"/>
        <v>#N/A</v>
      </c>
      <c r="AE63" s="12"/>
      <c r="AF63" s="12" t="e">
        <f>INDEX(产销规划表!$B$20:$F$20,1,卡牌图鉴!S63)</f>
        <v>#VALUE!</v>
      </c>
      <c r="AG63" s="4"/>
      <c r="AH63" s="4"/>
      <c r="AI63" s="4"/>
      <c r="AJ63" s="4"/>
      <c r="AK63" s="4"/>
      <c r="AL63" s="4"/>
    </row>
    <row r="64" spans="1:38" ht="99.95" customHeight="1" x14ac:dyDescent="0.15">
      <c r="B64" s="4"/>
      <c r="C64" s="12"/>
      <c r="D64" s="4"/>
      <c r="E64" s="4"/>
      <c r="F64" s="15" t="e">
        <f>INDEX(数值规划表!$H$16:$J$122,MATCH(卡牌图鉴!E64,数值规划表!$F$16:$F$21,0),1)</f>
        <v>#N/A</v>
      </c>
      <c r="G64" s="15" t="e">
        <f>INDEX(数值规划表!$H$16:$J$21,MATCH(卡牌图鉴!E64,数值规划表!$F$16:$F$21,0),2)</f>
        <v>#N/A</v>
      </c>
      <c r="H64" s="15" t="e">
        <f>INDEX(数值规划表!$J$16:$J$21,MATCH(卡牌图鉴!E64,数值规划表!$F$16:$F$21,0))</f>
        <v>#N/A</v>
      </c>
      <c r="I64" s="4"/>
      <c r="J64" s="15" t="e">
        <f>INDEX(数值规划表!$B$7:$J$7,MATCH(卡牌图鉴!I64,数值规划表!$B$4:$J$4,0))</f>
        <v>#N/A</v>
      </c>
      <c r="K64" s="4"/>
      <c r="L64" s="12"/>
      <c r="M64" s="15" t="e">
        <f>INDEX(数值规划表!$E$45:$M$54,MATCH(卡牌图鉴!K64,数值规划表!$A$45:$A$54,0),MATCH(卡牌图鉴!I64,数值规划表!$E$44:$M$44,0))</f>
        <v>#N/A</v>
      </c>
      <c r="N64" s="15" t="e">
        <f>INDEX(数值规划表!$N$45:$V$54,MATCH(卡牌图鉴!K64,数值规划表!$A$45:$A$54,0),MATCH(卡牌图鉴!I64,数值规划表!$E$44:$M$44,0))</f>
        <v>#N/A</v>
      </c>
      <c r="O64" s="4">
        <v>1</v>
      </c>
      <c r="P64" s="15">
        <f>INDEX(数值规划表!$B$32:$F$33,2,卡牌图鉴!O64)</f>
        <v>1</v>
      </c>
      <c r="Q64" s="15">
        <f>INDEX(数值规划表!$B$32:$F$33,1,卡牌图鉴!O64)</f>
        <v>1</v>
      </c>
      <c r="R64" s="4" t="s">
        <v>11</v>
      </c>
      <c r="S64" s="12"/>
      <c r="T64" s="15">
        <f>INDEX(名称表!$B$4:$B$7,MATCH(卡牌图鉴!R64,品质名称,0))</f>
        <v>5</v>
      </c>
      <c r="U64" s="15"/>
      <c r="V64" s="15"/>
      <c r="W64" s="12">
        <v>1</v>
      </c>
      <c r="X64" s="12">
        <v>1</v>
      </c>
      <c r="Y64" s="12">
        <v>1</v>
      </c>
      <c r="Z64" s="12">
        <v>1</v>
      </c>
      <c r="AA64" s="15" t="e">
        <f t="shared" si="1"/>
        <v>#N/A</v>
      </c>
      <c r="AB64" s="15" t="e">
        <f t="shared" si="2"/>
        <v>#N/A</v>
      </c>
      <c r="AC64" s="4"/>
      <c r="AD64" s="15" t="e">
        <f t="shared" si="3"/>
        <v>#N/A</v>
      </c>
      <c r="AE64" s="12"/>
      <c r="AF64" s="12" t="e">
        <f>INDEX(产销规划表!$B$20:$F$20,1,卡牌图鉴!S64)</f>
        <v>#VALUE!</v>
      </c>
      <c r="AG64" s="4"/>
      <c r="AH64" s="4"/>
      <c r="AI64" s="4"/>
      <c r="AJ64" s="4"/>
      <c r="AK64" s="4"/>
      <c r="AL64" s="4"/>
    </row>
    <row r="65" spans="2:38" ht="99.95" customHeight="1" x14ac:dyDescent="0.15">
      <c r="B65" s="4"/>
      <c r="C65" s="12"/>
      <c r="D65" s="4"/>
      <c r="E65" s="4"/>
      <c r="F65" s="12"/>
      <c r="G65" s="12"/>
      <c r="H65" s="12"/>
      <c r="I65" s="4"/>
      <c r="J65" s="12"/>
      <c r="K65" s="4"/>
      <c r="L65" s="12"/>
      <c r="M65" s="12"/>
      <c r="N65" s="12"/>
      <c r="O65" s="4"/>
      <c r="P65" s="12"/>
      <c r="Q65" s="12"/>
      <c r="R65" s="4"/>
      <c r="S65" s="12"/>
      <c r="T65" s="12"/>
      <c r="U65" s="12"/>
      <c r="V65" s="12"/>
      <c r="W65" s="4"/>
      <c r="X65" s="4"/>
      <c r="Y65" s="12"/>
      <c r="Z65" s="12"/>
      <c r="AA65" s="4"/>
      <c r="AB65" s="4"/>
      <c r="AC65" s="4"/>
      <c r="AD65" s="12"/>
      <c r="AE65" s="12"/>
      <c r="AF65" s="4"/>
      <c r="AG65" s="4"/>
      <c r="AH65" s="4"/>
      <c r="AI65" s="4"/>
      <c r="AJ65" s="4"/>
      <c r="AK65" s="4"/>
      <c r="AL65" s="4"/>
    </row>
    <row r="66" spans="2:38" ht="99.95" customHeight="1" x14ac:dyDescent="0.15">
      <c r="B66" s="4"/>
      <c r="C66" s="12"/>
      <c r="D66" s="4"/>
      <c r="E66" s="4"/>
      <c r="F66" s="12"/>
      <c r="G66" s="12"/>
      <c r="H66" s="12"/>
      <c r="I66" s="4"/>
      <c r="J66" s="12"/>
      <c r="K66" s="4"/>
      <c r="L66" s="12"/>
      <c r="M66" s="12"/>
      <c r="N66" s="12"/>
      <c r="O66" s="4"/>
      <c r="P66" s="12"/>
      <c r="Q66" s="12"/>
      <c r="R66" s="4"/>
      <c r="S66" s="12"/>
      <c r="T66" s="12"/>
      <c r="U66" s="12"/>
      <c r="V66" s="12"/>
      <c r="W66" s="4"/>
      <c r="X66" s="4"/>
      <c r="Y66" s="12"/>
      <c r="Z66" s="12"/>
      <c r="AA66" s="4"/>
      <c r="AB66" s="4"/>
      <c r="AC66" s="4"/>
      <c r="AD66" s="12"/>
      <c r="AE66" s="12"/>
      <c r="AF66" s="4"/>
      <c r="AG66" s="4"/>
      <c r="AH66" s="4"/>
      <c r="AI66" s="4"/>
      <c r="AJ66" s="4"/>
      <c r="AK66" s="4"/>
      <c r="AL66" s="4"/>
    </row>
    <row r="67" spans="2:38" ht="99.95" customHeight="1" x14ac:dyDescent="0.15">
      <c r="B67" s="4"/>
      <c r="C67" s="12"/>
      <c r="D67" s="4"/>
      <c r="E67" s="4"/>
      <c r="F67" s="12"/>
      <c r="G67" s="12"/>
      <c r="H67" s="12"/>
      <c r="I67" s="4"/>
      <c r="J67" s="12"/>
      <c r="K67" s="4"/>
      <c r="L67" s="12"/>
      <c r="M67" s="12"/>
      <c r="N67" s="12"/>
      <c r="O67" s="4"/>
      <c r="P67" s="12"/>
      <c r="Q67" s="12"/>
      <c r="R67" s="4"/>
      <c r="S67" s="12"/>
      <c r="T67" s="12"/>
      <c r="U67" s="12"/>
      <c r="V67" s="12"/>
      <c r="W67" s="4"/>
      <c r="X67" s="4"/>
      <c r="Y67" s="12"/>
      <c r="Z67" s="12"/>
      <c r="AA67" s="4"/>
      <c r="AB67" s="4"/>
      <c r="AC67" s="4"/>
      <c r="AD67" s="12"/>
      <c r="AE67" s="12"/>
      <c r="AF67" s="4"/>
      <c r="AG67" s="4"/>
      <c r="AH67" s="4"/>
      <c r="AI67" s="4"/>
      <c r="AJ67" s="4"/>
      <c r="AK67" s="4"/>
      <c r="AL67" s="4"/>
    </row>
    <row r="68" spans="2:38" ht="99.95" customHeight="1" x14ac:dyDescent="0.15">
      <c r="B68" s="4"/>
      <c r="C68" s="12"/>
      <c r="D68" s="4"/>
      <c r="E68" s="4"/>
      <c r="F68" s="12"/>
      <c r="G68" s="12"/>
      <c r="H68" s="12"/>
      <c r="I68" s="4"/>
      <c r="J68" s="12"/>
      <c r="K68" s="4"/>
      <c r="L68" s="12"/>
      <c r="M68" s="12"/>
      <c r="N68" s="12"/>
      <c r="O68" s="4"/>
      <c r="P68" s="12"/>
      <c r="Q68" s="12"/>
      <c r="R68" s="4"/>
      <c r="S68" s="12"/>
      <c r="T68" s="12"/>
      <c r="U68" s="12"/>
      <c r="V68" s="12"/>
      <c r="W68" s="4"/>
      <c r="X68" s="4"/>
      <c r="Y68" s="12"/>
      <c r="Z68" s="12"/>
      <c r="AA68" s="4"/>
      <c r="AB68" s="4"/>
      <c r="AC68" s="4"/>
      <c r="AD68" s="12"/>
      <c r="AE68" s="12"/>
      <c r="AF68" s="4"/>
      <c r="AG68" s="4"/>
      <c r="AH68" s="4"/>
      <c r="AI68" s="4"/>
      <c r="AJ68" s="4"/>
      <c r="AK68" s="4"/>
      <c r="AL68" s="4"/>
    </row>
    <row r="69" spans="2:38" ht="99.95" customHeight="1" x14ac:dyDescent="0.15">
      <c r="B69" s="4"/>
      <c r="C69" s="12"/>
      <c r="D69" s="4"/>
      <c r="E69" s="4"/>
      <c r="F69" s="12"/>
      <c r="G69" s="12"/>
      <c r="H69" s="12"/>
      <c r="I69" s="4"/>
      <c r="J69" s="12"/>
      <c r="K69" s="4"/>
      <c r="L69" s="12"/>
      <c r="M69" s="12"/>
      <c r="N69" s="12"/>
      <c r="O69" s="4"/>
      <c r="P69" s="12"/>
      <c r="Q69" s="12"/>
      <c r="R69" s="4"/>
      <c r="S69" s="12"/>
      <c r="T69" s="12"/>
      <c r="U69" s="12"/>
      <c r="V69" s="12"/>
      <c r="W69" s="4"/>
      <c r="X69" s="4"/>
      <c r="Y69" s="12"/>
      <c r="Z69" s="12"/>
      <c r="AA69" s="4"/>
      <c r="AB69" s="4"/>
      <c r="AC69" s="4"/>
      <c r="AD69" s="12"/>
      <c r="AE69" s="12"/>
      <c r="AF69" s="4"/>
      <c r="AG69" s="4"/>
      <c r="AH69" s="4"/>
      <c r="AI69" s="4"/>
      <c r="AJ69" s="4"/>
      <c r="AK69" s="4"/>
      <c r="AL69" s="4"/>
    </row>
    <row r="70" spans="2:38" ht="99.95" customHeight="1" x14ac:dyDescent="0.15">
      <c r="B70" s="4"/>
      <c r="C70" s="12"/>
      <c r="D70" s="4"/>
      <c r="E70" s="4"/>
      <c r="F70" s="12"/>
      <c r="G70" s="12"/>
      <c r="H70" s="12"/>
      <c r="I70" s="4"/>
      <c r="J70" s="12"/>
      <c r="K70" s="4"/>
      <c r="L70" s="12"/>
      <c r="M70" s="12"/>
      <c r="N70" s="12"/>
      <c r="O70" s="4"/>
      <c r="P70" s="12"/>
      <c r="Q70" s="12"/>
      <c r="R70" s="4"/>
      <c r="S70" s="12"/>
      <c r="T70" s="12"/>
      <c r="U70" s="12"/>
      <c r="V70" s="12"/>
      <c r="W70" s="4"/>
      <c r="X70" s="4"/>
      <c r="Y70" s="12"/>
      <c r="Z70" s="12"/>
      <c r="AA70" s="4"/>
      <c r="AB70" s="4"/>
      <c r="AC70" s="4"/>
      <c r="AD70" s="12"/>
      <c r="AE70" s="12"/>
      <c r="AF70" s="4"/>
      <c r="AG70" s="4"/>
      <c r="AH70" s="4"/>
      <c r="AI70" s="4"/>
      <c r="AJ70" s="4"/>
      <c r="AK70" s="4"/>
      <c r="AL70" s="4"/>
    </row>
    <row r="71" spans="2:38" ht="99.95" customHeight="1" x14ac:dyDescent="0.15">
      <c r="B71" s="4"/>
      <c r="C71" s="12"/>
      <c r="D71" s="4"/>
      <c r="E71" s="4"/>
      <c r="F71" s="12"/>
      <c r="G71" s="12"/>
      <c r="H71" s="12"/>
      <c r="I71" s="4"/>
      <c r="J71" s="12"/>
      <c r="K71" s="4"/>
      <c r="L71" s="12"/>
      <c r="M71" s="12"/>
      <c r="N71" s="12"/>
      <c r="O71" s="4"/>
      <c r="P71" s="12"/>
      <c r="Q71" s="12"/>
      <c r="R71" s="4"/>
      <c r="S71" s="12"/>
      <c r="T71" s="12"/>
      <c r="U71" s="12"/>
      <c r="V71" s="12"/>
      <c r="W71" s="4"/>
      <c r="X71" s="4"/>
      <c r="Y71" s="12"/>
      <c r="Z71" s="12"/>
      <c r="AA71" s="4"/>
      <c r="AB71" s="4"/>
      <c r="AC71" s="4"/>
      <c r="AD71" s="12"/>
      <c r="AE71" s="12"/>
      <c r="AF71" s="4"/>
      <c r="AG71" s="4"/>
      <c r="AH71" s="4"/>
      <c r="AI71" s="4"/>
      <c r="AJ71" s="4"/>
      <c r="AK71" s="4"/>
      <c r="AL71" s="4"/>
    </row>
    <row r="72" spans="2:38" ht="99.95" customHeight="1" x14ac:dyDescent="0.15">
      <c r="B72" s="4"/>
      <c r="C72" s="12"/>
      <c r="D72" s="4"/>
      <c r="E72" s="4"/>
      <c r="F72" s="12"/>
      <c r="G72" s="12"/>
      <c r="H72" s="12"/>
      <c r="I72" s="4"/>
      <c r="J72" s="12"/>
      <c r="K72" s="4"/>
      <c r="L72" s="12"/>
      <c r="M72" s="12"/>
      <c r="N72" s="12"/>
      <c r="O72" s="4"/>
      <c r="P72" s="12"/>
      <c r="Q72" s="12"/>
      <c r="R72" s="4"/>
      <c r="S72" s="12"/>
      <c r="T72" s="12"/>
      <c r="U72" s="12"/>
      <c r="V72" s="12"/>
      <c r="W72" s="4"/>
      <c r="X72" s="4"/>
      <c r="Y72" s="12"/>
      <c r="Z72" s="12"/>
      <c r="AA72" s="4"/>
      <c r="AB72" s="4"/>
      <c r="AC72" s="4"/>
      <c r="AD72" s="12"/>
      <c r="AE72" s="12"/>
      <c r="AF72" s="4"/>
      <c r="AG72" s="4"/>
      <c r="AH72" s="4"/>
      <c r="AI72" s="4"/>
      <c r="AJ72" s="4"/>
      <c r="AK72" s="4"/>
      <c r="AL72" s="4"/>
    </row>
    <row r="73" spans="2:38" ht="99.95" customHeight="1" x14ac:dyDescent="0.15">
      <c r="B73" s="4"/>
      <c r="C73" s="12"/>
      <c r="D73" s="4"/>
      <c r="E73" s="4"/>
      <c r="F73" s="12"/>
      <c r="G73" s="12"/>
      <c r="H73" s="12"/>
      <c r="I73" s="4"/>
      <c r="J73" s="12"/>
      <c r="K73" s="4"/>
      <c r="L73" s="12"/>
      <c r="M73" s="12"/>
      <c r="N73" s="12"/>
      <c r="O73" s="4"/>
      <c r="P73" s="12"/>
      <c r="Q73" s="12"/>
      <c r="R73" s="4"/>
      <c r="S73" s="12"/>
      <c r="T73" s="12"/>
      <c r="U73" s="12"/>
      <c r="V73" s="12"/>
      <c r="W73" s="4"/>
      <c r="X73" s="4"/>
      <c r="Y73" s="12"/>
      <c r="Z73" s="12"/>
      <c r="AA73" s="4"/>
      <c r="AB73" s="4"/>
      <c r="AC73" s="4"/>
      <c r="AD73" s="12"/>
      <c r="AE73" s="12"/>
      <c r="AF73" s="4"/>
      <c r="AG73" s="4"/>
      <c r="AH73" s="4"/>
      <c r="AI73" s="4"/>
      <c r="AJ73" s="4"/>
      <c r="AK73" s="4"/>
      <c r="AL73" s="4"/>
    </row>
    <row r="74" spans="2:38" ht="99.95" customHeight="1" x14ac:dyDescent="0.15">
      <c r="B74" s="4"/>
      <c r="C74" s="12"/>
      <c r="D74" s="4"/>
      <c r="E74" s="4"/>
      <c r="F74" s="12"/>
      <c r="G74" s="12"/>
      <c r="H74" s="12"/>
      <c r="I74" s="4"/>
      <c r="J74" s="12"/>
      <c r="K74" s="4"/>
      <c r="L74" s="12"/>
      <c r="M74" s="12"/>
      <c r="N74" s="12"/>
      <c r="O74" s="4"/>
      <c r="P74" s="12"/>
      <c r="Q74" s="12"/>
      <c r="R74" s="4"/>
      <c r="S74" s="12"/>
      <c r="T74" s="12"/>
      <c r="U74" s="12"/>
      <c r="V74" s="12"/>
      <c r="W74" s="4"/>
      <c r="X74" s="4"/>
      <c r="Y74" s="12"/>
      <c r="Z74" s="12"/>
      <c r="AA74" s="4"/>
      <c r="AB74" s="4"/>
      <c r="AC74" s="4"/>
      <c r="AD74" s="12"/>
      <c r="AE74" s="12"/>
      <c r="AF74" s="4"/>
      <c r="AG74" s="4"/>
      <c r="AH74" s="4"/>
      <c r="AI74" s="4"/>
      <c r="AJ74" s="4"/>
      <c r="AK74" s="4"/>
      <c r="AL74" s="4"/>
    </row>
    <row r="75" spans="2:38" ht="99.95" customHeight="1" x14ac:dyDescent="0.15">
      <c r="B75" s="4"/>
      <c r="C75" s="12"/>
      <c r="D75" s="4"/>
      <c r="E75" s="4"/>
      <c r="F75" s="12"/>
      <c r="G75" s="12"/>
      <c r="H75" s="12"/>
      <c r="I75" s="4"/>
      <c r="J75" s="12"/>
      <c r="K75" s="4"/>
      <c r="L75" s="12"/>
      <c r="M75" s="12"/>
      <c r="N75" s="12"/>
      <c r="O75" s="4"/>
      <c r="P75" s="12"/>
      <c r="Q75" s="12"/>
      <c r="R75" s="4"/>
      <c r="S75" s="12"/>
      <c r="T75" s="12"/>
      <c r="U75" s="12"/>
      <c r="V75" s="12"/>
      <c r="W75" s="4"/>
      <c r="X75" s="4"/>
      <c r="Y75" s="12"/>
      <c r="Z75" s="12"/>
      <c r="AA75" s="4"/>
      <c r="AB75" s="4"/>
      <c r="AC75" s="4"/>
      <c r="AD75" s="12"/>
      <c r="AE75" s="12"/>
      <c r="AF75" s="4"/>
      <c r="AG75" s="4"/>
      <c r="AH75" s="4"/>
      <c r="AI75" s="4"/>
      <c r="AJ75" s="4"/>
      <c r="AK75" s="4"/>
      <c r="AL75" s="4"/>
    </row>
    <row r="76" spans="2:38" ht="99.95" customHeight="1" x14ac:dyDescent="0.15">
      <c r="B76" s="4"/>
      <c r="C76" s="12"/>
      <c r="D76" s="4"/>
      <c r="E76" s="4"/>
      <c r="F76" s="12"/>
      <c r="G76" s="12"/>
      <c r="H76" s="12"/>
      <c r="I76" s="4"/>
      <c r="J76" s="12"/>
      <c r="K76" s="4"/>
      <c r="L76" s="12"/>
      <c r="M76" s="12"/>
      <c r="N76" s="12"/>
      <c r="O76" s="4"/>
      <c r="P76" s="12"/>
      <c r="Q76" s="12"/>
      <c r="R76" s="4"/>
      <c r="S76" s="12"/>
      <c r="T76" s="12"/>
      <c r="U76" s="12"/>
      <c r="V76" s="12"/>
      <c r="W76" s="4"/>
      <c r="X76" s="4"/>
      <c r="Y76" s="12"/>
      <c r="Z76" s="12"/>
      <c r="AA76" s="4"/>
      <c r="AB76" s="4"/>
      <c r="AC76" s="4"/>
      <c r="AD76" s="12"/>
      <c r="AE76" s="12"/>
      <c r="AF76" s="4"/>
      <c r="AG76" s="4"/>
      <c r="AH76" s="4"/>
      <c r="AI76" s="4"/>
      <c r="AJ76" s="4"/>
      <c r="AK76" s="4"/>
      <c r="AL76" s="4"/>
    </row>
    <row r="77" spans="2:38" ht="99.95" customHeight="1" x14ac:dyDescent="0.15">
      <c r="B77" s="4"/>
      <c r="C77" s="12"/>
      <c r="D77" s="4"/>
      <c r="E77" s="4"/>
      <c r="F77" s="12"/>
      <c r="G77" s="12"/>
      <c r="H77" s="12"/>
      <c r="I77" s="4"/>
      <c r="J77" s="12"/>
      <c r="K77" s="4"/>
      <c r="L77" s="12"/>
      <c r="M77" s="12"/>
      <c r="N77" s="12"/>
      <c r="O77" s="4"/>
      <c r="P77" s="12"/>
      <c r="Q77" s="12"/>
      <c r="R77" s="4"/>
      <c r="S77" s="12"/>
      <c r="T77" s="12"/>
      <c r="U77" s="12"/>
      <c r="V77" s="12"/>
      <c r="W77" s="4"/>
      <c r="X77" s="4"/>
      <c r="Y77" s="12"/>
      <c r="Z77" s="12"/>
      <c r="AA77" s="4"/>
      <c r="AB77" s="4"/>
      <c r="AC77" s="4"/>
      <c r="AD77" s="12"/>
      <c r="AE77" s="12"/>
      <c r="AF77" s="4"/>
      <c r="AG77" s="4"/>
      <c r="AH77" s="4"/>
      <c r="AI77" s="4"/>
      <c r="AJ77" s="4"/>
      <c r="AK77" s="4"/>
      <c r="AL77" s="4"/>
    </row>
    <row r="78" spans="2:38" ht="99.95" customHeight="1" x14ac:dyDescent="0.15">
      <c r="B78" s="4"/>
      <c r="C78" s="12"/>
      <c r="D78" s="4"/>
      <c r="E78" s="4"/>
      <c r="F78" s="12"/>
      <c r="G78" s="12"/>
      <c r="H78" s="12"/>
      <c r="I78" s="4"/>
      <c r="J78" s="12"/>
      <c r="K78" s="4"/>
      <c r="L78" s="12"/>
      <c r="M78" s="12"/>
      <c r="N78" s="12"/>
      <c r="O78" s="4"/>
      <c r="P78" s="12"/>
      <c r="Q78" s="12"/>
      <c r="R78" s="4"/>
      <c r="S78" s="12"/>
      <c r="T78" s="12"/>
      <c r="U78" s="12"/>
      <c r="V78" s="12"/>
      <c r="W78" s="4"/>
      <c r="X78" s="4"/>
      <c r="Y78" s="12"/>
      <c r="Z78" s="12"/>
      <c r="AA78" s="4"/>
      <c r="AB78" s="4"/>
      <c r="AC78" s="4"/>
      <c r="AD78" s="12"/>
      <c r="AE78" s="12"/>
      <c r="AF78" s="4"/>
      <c r="AG78" s="4"/>
      <c r="AH78" s="4"/>
      <c r="AI78" s="4"/>
      <c r="AJ78" s="4"/>
      <c r="AK78" s="4"/>
      <c r="AL78" s="4"/>
    </row>
    <row r="79" spans="2:38" ht="99.95" customHeight="1" x14ac:dyDescent="0.15">
      <c r="B79" s="4"/>
      <c r="C79" s="12"/>
      <c r="D79" s="4"/>
      <c r="E79" s="4"/>
      <c r="F79" s="12"/>
      <c r="G79" s="12"/>
      <c r="H79" s="12"/>
      <c r="I79" s="4"/>
      <c r="J79" s="12"/>
      <c r="K79" s="4"/>
      <c r="L79" s="12"/>
      <c r="M79" s="12"/>
      <c r="N79" s="12"/>
      <c r="O79" s="4"/>
      <c r="P79" s="12"/>
      <c r="Q79" s="12"/>
      <c r="R79" s="4"/>
      <c r="S79" s="12"/>
      <c r="T79" s="12"/>
      <c r="U79" s="12"/>
      <c r="V79" s="12"/>
      <c r="W79" s="4"/>
      <c r="X79" s="4"/>
      <c r="Y79" s="12"/>
      <c r="Z79" s="12"/>
      <c r="AA79" s="4"/>
      <c r="AB79" s="4"/>
      <c r="AC79" s="4"/>
      <c r="AD79" s="12"/>
      <c r="AE79" s="12"/>
      <c r="AF79" s="4"/>
      <c r="AG79" s="4"/>
      <c r="AH79" s="4"/>
      <c r="AI79" s="4"/>
      <c r="AJ79" s="4"/>
      <c r="AK79" s="4"/>
      <c r="AL79" s="4"/>
    </row>
    <row r="80" spans="2:38" ht="99.95" customHeight="1" x14ac:dyDescent="0.15">
      <c r="B80" s="4"/>
      <c r="C80" s="12"/>
      <c r="D80" s="4"/>
      <c r="E80" s="4"/>
      <c r="F80" s="12"/>
      <c r="G80" s="12"/>
      <c r="H80" s="12"/>
      <c r="I80" s="4"/>
      <c r="J80" s="12"/>
      <c r="K80" s="4"/>
      <c r="L80" s="12"/>
      <c r="M80" s="12"/>
      <c r="N80" s="12"/>
      <c r="O80" s="4"/>
      <c r="P80" s="12"/>
      <c r="Q80" s="12"/>
      <c r="R80" s="4"/>
      <c r="S80" s="12"/>
      <c r="T80" s="12"/>
      <c r="U80" s="12"/>
      <c r="V80" s="12"/>
      <c r="W80" s="4"/>
      <c r="X80" s="4"/>
      <c r="Y80" s="12"/>
      <c r="Z80" s="12"/>
      <c r="AA80" s="4"/>
      <c r="AB80" s="4"/>
      <c r="AC80" s="4"/>
      <c r="AD80" s="12"/>
      <c r="AE80" s="12"/>
      <c r="AF80" s="4"/>
      <c r="AG80" s="4"/>
      <c r="AH80" s="4"/>
      <c r="AI80" s="4"/>
      <c r="AJ80" s="4"/>
      <c r="AK80" s="4"/>
      <c r="AL80" s="4"/>
    </row>
    <row r="81" spans="2:38" ht="99.95" customHeight="1" x14ac:dyDescent="0.15">
      <c r="B81" s="4"/>
      <c r="C81" s="12"/>
      <c r="D81" s="4"/>
      <c r="E81" s="4"/>
      <c r="F81" s="12"/>
      <c r="G81" s="12"/>
      <c r="H81" s="12"/>
      <c r="I81" s="4"/>
      <c r="J81" s="12"/>
      <c r="K81" s="4"/>
      <c r="L81" s="12"/>
      <c r="M81" s="12"/>
      <c r="N81" s="12"/>
      <c r="O81" s="4"/>
      <c r="P81" s="12"/>
      <c r="Q81" s="12"/>
      <c r="R81" s="4"/>
      <c r="S81" s="12"/>
      <c r="T81" s="12"/>
      <c r="U81" s="12"/>
      <c r="V81" s="12"/>
      <c r="W81" s="4"/>
      <c r="X81" s="4"/>
      <c r="Y81" s="12"/>
      <c r="Z81" s="12"/>
      <c r="AA81" s="4"/>
      <c r="AB81" s="4"/>
      <c r="AC81" s="4"/>
      <c r="AD81" s="12"/>
      <c r="AE81" s="12"/>
      <c r="AF81" s="4"/>
      <c r="AG81" s="4"/>
      <c r="AH81" s="4"/>
      <c r="AI81" s="4"/>
      <c r="AJ81" s="4"/>
      <c r="AK81" s="4"/>
      <c r="AL81" s="4"/>
    </row>
    <row r="82" spans="2:38" ht="99.95" customHeight="1" x14ac:dyDescent="0.15">
      <c r="B82" s="4"/>
      <c r="C82" s="12"/>
      <c r="D82" s="4"/>
      <c r="E82" s="4"/>
      <c r="F82" s="12"/>
      <c r="G82" s="12"/>
      <c r="H82" s="12"/>
      <c r="I82" s="4"/>
      <c r="J82" s="12"/>
      <c r="K82" s="4"/>
      <c r="L82" s="12"/>
      <c r="M82" s="12"/>
      <c r="N82" s="12"/>
      <c r="O82" s="4"/>
      <c r="P82" s="12"/>
      <c r="Q82" s="12"/>
      <c r="R82" s="4"/>
      <c r="S82" s="12"/>
      <c r="T82" s="12"/>
      <c r="U82" s="12"/>
      <c r="V82" s="12"/>
      <c r="W82" s="4"/>
      <c r="X82" s="4"/>
      <c r="Y82" s="12"/>
      <c r="Z82" s="12"/>
      <c r="AA82" s="4"/>
      <c r="AB82" s="4"/>
      <c r="AC82" s="4"/>
      <c r="AD82" s="12"/>
      <c r="AE82" s="12"/>
      <c r="AF82" s="4"/>
      <c r="AG82" s="4"/>
      <c r="AH82" s="4"/>
      <c r="AI82" s="4"/>
      <c r="AJ82" s="4"/>
      <c r="AK82" s="4"/>
      <c r="AL82" s="4"/>
    </row>
    <row r="83" spans="2:38" ht="99.95" customHeight="1" x14ac:dyDescent="0.15">
      <c r="B83" s="4"/>
      <c r="C83" s="12"/>
      <c r="D83" s="4"/>
      <c r="E83" s="4"/>
      <c r="F83" s="12"/>
      <c r="G83" s="12"/>
      <c r="H83" s="12"/>
      <c r="I83" s="4"/>
      <c r="J83" s="12"/>
      <c r="K83" s="4"/>
      <c r="L83" s="12"/>
      <c r="M83" s="12"/>
      <c r="N83" s="12"/>
      <c r="O83" s="4"/>
      <c r="P83" s="12"/>
      <c r="Q83" s="12"/>
      <c r="R83" s="4"/>
      <c r="S83" s="12"/>
      <c r="T83" s="12"/>
      <c r="U83" s="12"/>
      <c r="V83" s="12"/>
      <c r="W83" s="4"/>
      <c r="X83" s="4"/>
      <c r="Y83" s="12"/>
      <c r="Z83" s="12"/>
      <c r="AA83" s="4"/>
      <c r="AB83" s="4"/>
      <c r="AC83" s="4"/>
      <c r="AD83" s="12"/>
      <c r="AE83" s="12"/>
      <c r="AF83" s="4"/>
      <c r="AG83" s="4"/>
      <c r="AH83" s="4"/>
      <c r="AI83" s="4"/>
      <c r="AJ83" s="4"/>
      <c r="AK83" s="4"/>
      <c r="AL83" s="4"/>
    </row>
    <row r="84" spans="2:38" ht="99.95" customHeight="1" x14ac:dyDescent="0.15">
      <c r="B84" s="4"/>
      <c r="C84" s="12"/>
      <c r="D84" s="4"/>
      <c r="E84" s="4"/>
      <c r="F84" s="12"/>
      <c r="G84" s="12"/>
      <c r="H84" s="12"/>
      <c r="I84" s="4"/>
      <c r="J84" s="12"/>
      <c r="K84" s="4"/>
      <c r="L84" s="12"/>
      <c r="M84" s="12"/>
      <c r="N84" s="12"/>
      <c r="O84" s="4"/>
      <c r="P84" s="12"/>
      <c r="Q84" s="12"/>
      <c r="R84" s="4"/>
      <c r="S84" s="12"/>
      <c r="T84" s="12"/>
      <c r="U84" s="12"/>
      <c r="V84" s="12"/>
      <c r="W84" s="4"/>
      <c r="X84" s="4"/>
      <c r="Y84" s="12"/>
      <c r="Z84" s="12"/>
      <c r="AA84" s="4"/>
      <c r="AB84" s="4"/>
      <c r="AC84" s="4"/>
      <c r="AD84" s="12"/>
      <c r="AE84" s="12"/>
      <c r="AF84" s="4"/>
      <c r="AG84" s="4"/>
      <c r="AH84" s="4"/>
      <c r="AI84" s="4"/>
      <c r="AJ84" s="4"/>
      <c r="AK84" s="4"/>
      <c r="AL84" s="4"/>
    </row>
    <row r="85" spans="2:38" ht="99.95" customHeight="1" x14ac:dyDescent="0.15">
      <c r="B85" s="4"/>
      <c r="C85" s="12"/>
      <c r="D85" s="4"/>
      <c r="E85" s="4"/>
      <c r="F85" s="12"/>
      <c r="G85" s="12"/>
      <c r="H85" s="12"/>
      <c r="I85" s="4"/>
      <c r="J85" s="12"/>
      <c r="K85" s="4"/>
      <c r="L85" s="12"/>
      <c r="M85" s="12"/>
      <c r="N85" s="12"/>
      <c r="O85" s="4"/>
      <c r="P85" s="12"/>
      <c r="Q85" s="12"/>
      <c r="R85" s="4"/>
      <c r="S85" s="12"/>
      <c r="T85" s="12"/>
      <c r="U85" s="12"/>
      <c r="V85" s="12"/>
      <c r="W85" s="4"/>
      <c r="X85" s="4"/>
      <c r="Y85" s="12"/>
      <c r="Z85" s="12"/>
      <c r="AA85" s="4"/>
      <c r="AB85" s="4"/>
      <c r="AC85" s="4"/>
      <c r="AD85" s="12"/>
      <c r="AE85" s="12"/>
      <c r="AF85" s="4"/>
      <c r="AG85" s="4"/>
      <c r="AH85" s="4"/>
      <c r="AI85" s="4"/>
      <c r="AJ85" s="4"/>
      <c r="AK85" s="4"/>
      <c r="AL85" s="4"/>
    </row>
    <row r="86" spans="2:38" ht="99.95" customHeight="1" x14ac:dyDescent="0.15">
      <c r="B86" s="4"/>
      <c r="C86" s="12"/>
      <c r="D86" s="4"/>
      <c r="E86" s="4"/>
      <c r="F86" s="12"/>
      <c r="G86" s="12"/>
      <c r="H86" s="12"/>
      <c r="I86" s="4"/>
      <c r="J86" s="12"/>
      <c r="K86" s="4"/>
      <c r="L86" s="12"/>
      <c r="M86" s="12"/>
      <c r="N86" s="12"/>
      <c r="O86" s="4"/>
      <c r="P86" s="12"/>
      <c r="Q86" s="12"/>
      <c r="R86" s="4"/>
      <c r="S86" s="12"/>
      <c r="T86" s="12"/>
      <c r="U86" s="12"/>
      <c r="V86" s="12"/>
      <c r="W86" s="4"/>
      <c r="X86" s="4"/>
      <c r="Y86" s="12"/>
      <c r="Z86" s="12"/>
      <c r="AA86" s="4"/>
      <c r="AB86" s="4"/>
      <c r="AC86" s="4"/>
      <c r="AD86" s="12"/>
      <c r="AE86" s="12"/>
      <c r="AF86" s="4"/>
      <c r="AG86" s="4"/>
      <c r="AH86" s="4"/>
      <c r="AI86" s="4"/>
      <c r="AJ86" s="4"/>
      <c r="AK86" s="4"/>
      <c r="AL86" s="4"/>
    </row>
    <row r="87" spans="2:38" ht="99.95" customHeight="1" x14ac:dyDescent="0.15">
      <c r="B87" s="4"/>
      <c r="C87" s="12"/>
      <c r="D87" s="4"/>
      <c r="E87" s="4"/>
      <c r="F87" s="12"/>
      <c r="G87" s="12"/>
      <c r="H87" s="12"/>
      <c r="I87" s="4"/>
      <c r="J87" s="12"/>
      <c r="K87" s="4"/>
      <c r="L87" s="12"/>
      <c r="M87" s="12"/>
      <c r="N87" s="12"/>
      <c r="O87" s="4"/>
      <c r="P87" s="12"/>
      <c r="Q87" s="12"/>
      <c r="R87" s="4"/>
      <c r="S87" s="12"/>
      <c r="T87" s="12"/>
      <c r="U87" s="12"/>
      <c r="V87" s="12"/>
      <c r="W87" s="4"/>
      <c r="X87" s="4"/>
      <c r="Y87" s="12"/>
      <c r="Z87" s="12"/>
      <c r="AA87" s="4"/>
      <c r="AB87" s="4"/>
      <c r="AC87" s="4"/>
      <c r="AD87" s="12"/>
      <c r="AE87" s="12"/>
      <c r="AF87" s="4"/>
      <c r="AG87" s="4"/>
      <c r="AH87" s="4"/>
      <c r="AI87" s="4"/>
      <c r="AJ87" s="4"/>
      <c r="AK87" s="4"/>
      <c r="AL87" s="4"/>
    </row>
    <row r="88" spans="2:38" ht="99.95" customHeight="1" x14ac:dyDescent="0.15">
      <c r="B88" s="4"/>
      <c r="C88" s="12"/>
      <c r="D88" s="4"/>
      <c r="E88" s="4"/>
      <c r="F88" s="12"/>
      <c r="G88" s="12"/>
      <c r="H88" s="12"/>
      <c r="I88" s="4"/>
      <c r="J88" s="12"/>
      <c r="K88" s="4"/>
      <c r="L88" s="12"/>
      <c r="M88" s="12"/>
      <c r="N88" s="12"/>
      <c r="O88" s="4"/>
      <c r="P88" s="12"/>
      <c r="Q88" s="12"/>
      <c r="R88" s="4"/>
      <c r="S88" s="12"/>
      <c r="T88" s="12"/>
      <c r="U88" s="12"/>
      <c r="V88" s="12"/>
      <c r="W88" s="4"/>
      <c r="X88" s="4"/>
      <c r="Y88" s="12"/>
      <c r="Z88" s="12"/>
      <c r="AA88" s="4"/>
      <c r="AB88" s="4"/>
      <c r="AC88" s="4"/>
      <c r="AD88" s="12"/>
      <c r="AE88" s="12"/>
      <c r="AF88" s="4"/>
      <c r="AG88" s="4"/>
      <c r="AH88" s="4"/>
      <c r="AI88" s="4"/>
      <c r="AJ88" s="4"/>
      <c r="AK88" s="4"/>
      <c r="AL88" s="4"/>
    </row>
    <row r="89" spans="2:38" ht="99.95" customHeight="1" x14ac:dyDescent="0.15">
      <c r="B89" s="4"/>
      <c r="C89" s="12"/>
      <c r="D89" s="4"/>
      <c r="E89" s="4"/>
      <c r="F89" s="12"/>
      <c r="G89" s="12"/>
      <c r="H89" s="12"/>
      <c r="I89" s="4"/>
      <c r="J89" s="12"/>
      <c r="K89" s="4"/>
      <c r="L89" s="12"/>
      <c r="M89" s="12"/>
      <c r="N89" s="12"/>
      <c r="O89" s="4"/>
      <c r="P89" s="12"/>
      <c r="Q89" s="12"/>
      <c r="R89" s="4"/>
      <c r="S89" s="12"/>
      <c r="T89" s="12"/>
      <c r="U89" s="12"/>
      <c r="V89" s="12"/>
      <c r="W89" s="4"/>
      <c r="X89" s="4"/>
      <c r="Y89" s="12"/>
      <c r="Z89" s="12"/>
      <c r="AA89" s="4"/>
      <c r="AB89" s="4"/>
      <c r="AC89" s="4"/>
      <c r="AD89" s="12"/>
      <c r="AE89" s="12"/>
      <c r="AF89" s="4"/>
      <c r="AG89" s="4"/>
      <c r="AH89" s="4"/>
      <c r="AI89" s="4"/>
      <c r="AJ89" s="4"/>
      <c r="AK89" s="4"/>
      <c r="AL89" s="4"/>
    </row>
    <row r="90" spans="2:38" ht="99.95" customHeight="1" x14ac:dyDescent="0.15">
      <c r="B90" s="4"/>
      <c r="C90" s="12"/>
      <c r="D90" s="4"/>
      <c r="E90" s="4"/>
      <c r="F90" s="12"/>
      <c r="G90" s="12"/>
      <c r="H90" s="12"/>
      <c r="I90" s="4"/>
      <c r="J90" s="12"/>
      <c r="K90" s="4"/>
      <c r="L90" s="12"/>
      <c r="M90" s="12"/>
      <c r="N90" s="12"/>
      <c r="O90" s="4"/>
      <c r="P90" s="12"/>
      <c r="Q90" s="12"/>
      <c r="R90" s="4"/>
      <c r="S90" s="12"/>
      <c r="T90" s="12"/>
      <c r="U90" s="12"/>
      <c r="V90" s="12"/>
      <c r="W90" s="4"/>
      <c r="X90" s="4"/>
      <c r="Y90" s="12"/>
      <c r="Z90" s="12"/>
      <c r="AA90" s="4"/>
      <c r="AB90" s="4"/>
      <c r="AC90" s="4"/>
      <c r="AD90" s="12"/>
      <c r="AE90" s="12"/>
      <c r="AF90" s="4"/>
      <c r="AG90" s="4"/>
      <c r="AH90" s="4"/>
      <c r="AI90" s="4"/>
      <c r="AJ90" s="4"/>
      <c r="AK90" s="4"/>
      <c r="AL90" s="4"/>
    </row>
    <row r="91" spans="2:38" ht="99.95" customHeight="1" x14ac:dyDescent="0.15">
      <c r="B91" s="4"/>
      <c r="C91" s="12"/>
      <c r="D91" s="4"/>
      <c r="E91" s="4"/>
      <c r="F91" s="12"/>
      <c r="G91" s="12"/>
      <c r="H91" s="12"/>
      <c r="I91" s="4"/>
      <c r="J91" s="12"/>
      <c r="K91" s="4"/>
      <c r="L91" s="12"/>
      <c r="M91" s="12"/>
      <c r="N91" s="12"/>
      <c r="O91" s="4"/>
      <c r="P91" s="12"/>
      <c r="Q91" s="12"/>
      <c r="R91" s="4"/>
      <c r="S91" s="12"/>
      <c r="T91" s="12"/>
      <c r="U91" s="12"/>
      <c r="V91" s="12"/>
      <c r="W91" s="4"/>
      <c r="X91" s="4"/>
      <c r="Y91" s="12"/>
      <c r="Z91" s="12"/>
      <c r="AA91" s="4"/>
      <c r="AB91" s="4"/>
      <c r="AC91" s="4"/>
      <c r="AD91" s="12"/>
      <c r="AE91" s="12"/>
      <c r="AF91" s="4"/>
      <c r="AG91" s="4"/>
      <c r="AH91" s="4"/>
      <c r="AI91" s="4"/>
      <c r="AJ91" s="4"/>
      <c r="AK91" s="4"/>
      <c r="AL91" s="4"/>
    </row>
    <row r="92" spans="2:38" ht="99.95" customHeight="1" x14ac:dyDescent="0.15">
      <c r="B92" s="4"/>
      <c r="C92" s="12"/>
      <c r="D92" s="4"/>
      <c r="E92" s="4"/>
      <c r="F92" s="12"/>
      <c r="G92" s="12"/>
      <c r="H92" s="12"/>
      <c r="I92" s="4"/>
      <c r="J92" s="12"/>
      <c r="K92" s="4"/>
      <c r="L92" s="12"/>
      <c r="M92" s="12"/>
      <c r="N92" s="12"/>
      <c r="O92" s="4"/>
      <c r="P92" s="12"/>
      <c r="Q92" s="12"/>
      <c r="R92" s="4"/>
      <c r="S92" s="12"/>
      <c r="T92" s="12"/>
      <c r="U92" s="12"/>
      <c r="V92" s="12"/>
      <c r="W92" s="4"/>
      <c r="X92" s="4"/>
      <c r="Y92" s="12"/>
      <c r="Z92" s="12"/>
      <c r="AA92" s="4"/>
      <c r="AB92" s="4"/>
      <c r="AC92" s="4"/>
      <c r="AD92" s="12"/>
      <c r="AE92" s="12"/>
      <c r="AF92" s="4"/>
      <c r="AG92" s="4"/>
      <c r="AH92" s="4"/>
      <c r="AI92" s="4"/>
      <c r="AJ92" s="4"/>
      <c r="AK92" s="4"/>
      <c r="AL92" s="4"/>
    </row>
    <row r="93" spans="2:38" ht="99.95" customHeight="1" x14ac:dyDescent="0.15">
      <c r="B93" s="4"/>
      <c r="C93" s="12"/>
      <c r="D93" s="4"/>
      <c r="E93" s="4"/>
      <c r="F93" s="12"/>
      <c r="G93" s="12"/>
      <c r="H93" s="12"/>
      <c r="I93" s="4"/>
      <c r="J93" s="12"/>
      <c r="K93" s="4"/>
      <c r="L93" s="12"/>
      <c r="M93" s="12"/>
      <c r="N93" s="12"/>
      <c r="O93" s="4"/>
      <c r="P93" s="12"/>
      <c r="Q93" s="12"/>
      <c r="R93" s="4"/>
      <c r="S93" s="12"/>
      <c r="T93" s="12"/>
      <c r="U93" s="12"/>
      <c r="V93" s="12"/>
      <c r="W93" s="4"/>
      <c r="X93" s="4"/>
      <c r="Y93" s="12"/>
      <c r="Z93" s="12"/>
      <c r="AA93" s="4"/>
      <c r="AB93" s="4"/>
      <c r="AC93" s="4"/>
      <c r="AD93" s="12"/>
      <c r="AE93" s="12"/>
      <c r="AF93" s="4"/>
      <c r="AG93" s="4"/>
      <c r="AH93" s="4"/>
      <c r="AI93" s="4"/>
      <c r="AJ93" s="4"/>
      <c r="AK93" s="4"/>
      <c r="AL93" s="4"/>
    </row>
    <row r="94" spans="2:38" ht="99.95" customHeight="1" x14ac:dyDescent="0.15">
      <c r="B94" s="4"/>
      <c r="C94" s="12"/>
      <c r="D94" s="4"/>
      <c r="E94" s="4"/>
      <c r="F94" s="12"/>
      <c r="G94" s="12"/>
      <c r="H94" s="12"/>
      <c r="I94" s="4"/>
      <c r="J94" s="12"/>
      <c r="K94" s="4"/>
      <c r="L94" s="12"/>
      <c r="M94" s="12"/>
      <c r="N94" s="12"/>
      <c r="O94" s="4"/>
      <c r="P94" s="12"/>
      <c r="Q94" s="12"/>
      <c r="R94" s="4"/>
      <c r="S94" s="12"/>
      <c r="T94" s="12"/>
      <c r="U94" s="12"/>
      <c r="V94" s="12"/>
      <c r="W94" s="4"/>
      <c r="X94" s="4"/>
      <c r="Y94" s="12"/>
      <c r="Z94" s="12"/>
      <c r="AA94" s="4"/>
      <c r="AB94" s="4"/>
      <c r="AC94" s="4"/>
      <c r="AD94" s="12"/>
      <c r="AE94" s="12"/>
      <c r="AF94" s="4"/>
      <c r="AG94" s="4"/>
      <c r="AH94" s="4"/>
      <c r="AI94" s="4"/>
      <c r="AJ94" s="4"/>
      <c r="AK94" s="4"/>
      <c r="AL94" s="4"/>
    </row>
    <row r="95" spans="2:38" ht="99.95" customHeight="1" x14ac:dyDescent="0.15">
      <c r="B95" s="4"/>
      <c r="C95" s="12"/>
      <c r="D95" s="4"/>
      <c r="E95" s="4"/>
      <c r="F95" s="12"/>
      <c r="G95" s="12"/>
      <c r="H95" s="12"/>
      <c r="I95" s="4"/>
      <c r="J95" s="12"/>
      <c r="K95" s="4"/>
      <c r="L95" s="12"/>
      <c r="M95" s="12"/>
      <c r="N95" s="12"/>
      <c r="O95" s="4"/>
      <c r="P95" s="12"/>
      <c r="Q95" s="12"/>
      <c r="R95" s="4"/>
      <c r="S95" s="12"/>
      <c r="T95" s="12"/>
      <c r="U95" s="12"/>
      <c r="V95" s="12"/>
      <c r="W95" s="4"/>
      <c r="X95" s="4"/>
      <c r="Y95" s="12"/>
      <c r="Z95" s="12"/>
      <c r="AA95" s="4"/>
      <c r="AB95" s="4"/>
      <c r="AC95" s="4"/>
      <c r="AD95" s="12"/>
      <c r="AE95" s="12"/>
      <c r="AF95" s="4"/>
      <c r="AG95" s="4"/>
      <c r="AH95" s="4"/>
      <c r="AI95" s="4"/>
      <c r="AJ95" s="4"/>
      <c r="AK95" s="4"/>
      <c r="AL95" s="4"/>
    </row>
    <row r="96" spans="2:38" ht="99.95" customHeight="1" x14ac:dyDescent="0.15">
      <c r="B96" s="4"/>
      <c r="C96" s="12"/>
      <c r="D96" s="4"/>
      <c r="E96" s="4"/>
      <c r="F96" s="12"/>
      <c r="G96" s="12"/>
      <c r="H96" s="12"/>
      <c r="I96" s="4"/>
      <c r="J96" s="12"/>
      <c r="K96" s="4"/>
      <c r="L96" s="12"/>
      <c r="M96" s="12"/>
      <c r="N96" s="12"/>
      <c r="O96" s="4"/>
      <c r="P96" s="12"/>
      <c r="Q96" s="12"/>
      <c r="R96" s="4"/>
      <c r="S96" s="12"/>
      <c r="T96" s="12"/>
      <c r="U96" s="12"/>
      <c r="V96" s="12"/>
      <c r="W96" s="4"/>
      <c r="X96" s="4"/>
      <c r="Y96" s="12"/>
      <c r="Z96" s="12"/>
      <c r="AA96" s="4"/>
      <c r="AB96" s="4"/>
      <c r="AC96" s="4"/>
      <c r="AD96" s="12"/>
      <c r="AE96" s="12"/>
      <c r="AF96" s="4"/>
      <c r="AG96" s="4"/>
      <c r="AH96" s="4"/>
      <c r="AI96" s="4"/>
      <c r="AJ96" s="4"/>
      <c r="AK96" s="4"/>
      <c r="AL96" s="4"/>
    </row>
    <row r="97" spans="2:38" ht="99.95" customHeight="1" x14ac:dyDescent="0.15">
      <c r="B97" s="4"/>
      <c r="C97" s="12"/>
      <c r="D97" s="4"/>
      <c r="E97" s="4"/>
      <c r="F97" s="12"/>
      <c r="G97" s="12"/>
      <c r="H97" s="12"/>
      <c r="I97" s="4"/>
      <c r="J97" s="12"/>
      <c r="K97" s="4"/>
      <c r="L97" s="12"/>
      <c r="M97" s="12"/>
      <c r="N97" s="12"/>
      <c r="O97" s="4"/>
      <c r="P97" s="12"/>
      <c r="Q97" s="12"/>
      <c r="R97" s="4"/>
      <c r="S97" s="12"/>
      <c r="T97" s="12"/>
      <c r="U97" s="12"/>
      <c r="V97" s="12"/>
      <c r="W97" s="4"/>
      <c r="X97" s="4"/>
      <c r="Y97" s="12"/>
      <c r="Z97" s="12"/>
      <c r="AA97" s="4"/>
      <c r="AB97" s="4"/>
      <c r="AC97" s="4"/>
      <c r="AD97" s="12"/>
      <c r="AE97" s="12"/>
      <c r="AF97" s="4"/>
      <c r="AG97" s="4"/>
      <c r="AH97" s="4"/>
      <c r="AI97" s="4"/>
      <c r="AJ97" s="4"/>
      <c r="AK97" s="4"/>
      <c r="AL97" s="4"/>
    </row>
    <row r="98" spans="2:38" ht="99.95" customHeight="1" x14ac:dyDescent="0.15">
      <c r="B98" s="4"/>
      <c r="C98" s="12"/>
      <c r="D98" s="4"/>
      <c r="E98" s="4"/>
      <c r="F98" s="12"/>
      <c r="G98" s="12"/>
      <c r="H98" s="12"/>
      <c r="I98" s="4"/>
      <c r="J98" s="12"/>
      <c r="K98" s="4"/>
      <c r="L98" s="12"/>
      <c r="M98" s="12"/>
      <c r="N98" s="12"/>
      <c r="O98" s="4"/>
      <c r="P98" s="12"/>
      <c r="Q98" s="12"/>
      <c r="R98" s="4"/>
      <c r="S98" s="12"/>
      <c r="T98" s="12"/>
      <c r="U98" s="12"/>
      <c r="V98" s="12"/>
      <c r="W98" s="4"/>
      <c r="X98" s="4"/>
      <c r="Y98" s="12"/>
      <c r="Z98" s="12"/>
      <c r="AA98" s="4"/>
      <c r="AB98" s="4"/>
      <c r="AC98" s="4"/>
      <c r="AD98" s="12"/>
      <c r="AE98" s="12"/>
      <c r="AF98" s="4"/>
      <c r="AG98" s="4"/>
      <c r="AH98" s="4"/>
      <c r="AI98" s="4"/>
      <c r="AJ98" s="4"/>
      <c r="AK98" s="4"/>
      <c r="AL98" s="4"/>
    </row>
    <row r="99" spans="2:38" ht="99.95" customHeight="1" x14ac:dyDescent="0.15">
      <c r="B99" s="4"/>
      <c r="C99" s="12"/>
      <c r="D99" s="4"/>
      <c r="E99" s="4"/>
      <c r="F99" s="12"/>
      <c r="G99" s="12"/>
      <c r="H99" s="12"/>
      <c r="I99" s="4"/>
      <c r="J99" s="12"/>
      <c r="K99" s="4"/>
      <c r="L99" s="12"/>
      <c r="M99" s="12"/>
      <c r="N99" s="12"/>
      <c r="O99" s="4"/>
      <c r="P99" s="12"/>
      <c r="Q99" s="12"/>
      <c r="R99" s="4"/>
      <c r="S99" s="12"/>
      <c r="T99" s="12"/>
      <c r="U99" s="12"/>
      <c r="V99" s="12"/>
      <c r="W99" s="4"/>
      <c r="X99" s="4"/>
      <c r="Y99" s="12"/>
      <c r="Z99" s="12"/>
      <c r="AA99" s="4"/>
      <c r="AB99" s="4"/>
      <c r="AC99" s="4"/>
      <c r="AD99" s="12"/>
      <c r="AE99" s="12"/>
      <c r="AF99" s="4"/>
      <c r="AG99" s="4"/>
      <c r="AH99" s="4"/>
      <c r="AI99" s="4"/>
      <c r="AJ99" s="4"/>
      <c r="AK99" s="4"/>
      <c r="AL99" s="4"/>
    </row>
    <row r="100" spans="2:38" ht="99.95" customHeight="1" x14ac:dyDescent="0.15">
      <c r="B100" s="4"/>
      <c r="C100" s="12"/>
      <c r="D100" s="4"/>
      <c r="E100" s="4"/>
      <c r="F100" s="12"/>
      <c r="G100" s="12"/>
      <c r="H100" s="12"/>
      <c r="I100" s="4"/>
      <c r="J100" s="12"/>
      <c r="K100" s="4"/>
      <c r="L100" s="12"/>
      <c r="M100" s="12"/>
      <c r="N100" s="12"/>
      <c r="O100" s="4"/>
      <c r="P100" s="12"/>
      <c r="Q100" s="12"/>
      <c r="R100" s="4"/>
      <c r="S100" s="12"/>
      <c r="T100" s="12"/>
      <c r="U100" s="12"/>
      <c r="V100" s="12"/>
      <c r="W100" s="4"/>
      <c r="X100" s="4"/>
      <c r="Y100" s="12"/>
      <c r="Z100" s="12"/>
      <c r="AA100" s="4"/>
      <c r="AB100" s="4"/>
      <c r="AC100" s="4"/>
      <c r="AD100" s="12"/>
      <c r="AE100" s="12"/>
      <c r="AF100" s="4"/>
      <c r="AG100" s="4"/>
      <c r="AH100" s="4"/>
      <c r="AI100" s="4"/>
      <c r="AJ100" s="4"/>
      <c r="AK100" s="4"/>
      <c r="AL100" s="4"/>
    </row>
    <row r="101" spans="2:38" ht="99.95" customHeight="1" x14ac:dyDescent="0.15">
      <c r="B101" s="4"/>
      <c r="C101" s="12"/>
      <c r="D101" s="4"/>
      <c r="E101" s="4"/>
      <c r="F101" s="12"/>
      <c r="G101" s="12"/>
      <c r="H101" s="12"/>
      <c r="I101" s="4"/>
      <c r="J101" s="12"/>
      <c r="K101" s="4"/>
      <c r="L101" s="12"/>
      <c r="M101" s="12"/>
      <c r="N101" s="12"/>
      <c r="O101" s="4"/>
      <c r="P101" s="12"/>
      <c r="Q101" s="12"/>
      <c r="R101" s="4"/>
      <c r="S101" s="12"/>
      <c r="T101" s="12"/>
      <c r="U101" s="12"/>
      <c r="V101" s="12"/>
      <c r="W101" s="4"/>
      <c r="X101" s="4"/>
      <c r="Y101" s="12"/>
      <c r="Z101" s="12"/>
      <c r="AA101" s="4"/>
      <c r="AB101" s="4"/>
      <c r="AC101" s="4"/>
      <c r="AD101" s="12"/>
      <c r="AE101" s="12"/>
      <c r="AF101" s="4"/>
      <c r="AG101" s="4"/>
      <c r="AH101" s="4"/>
      <c r="AI101" s="4"/>
      <c r="AJ101" s="4"/>
      <c r="AK101" s="4"/>
      <c r="AL101" s="4"/>
    </row>
    <row r="102" spans="2:38" ht="99.95" customHeight="1" x14ac:dyDescent="0.15">
      <c r="B102" s="4"/>
      <c r="C102" s="12"/>
      <c r="D102" s="4"/>
      <c r="E102" s="4"/>
      <c r="F102" s="12"/>
      <c r="G102" s="12"/>
      <c r="H102" s="12"/>
      <c r="I102" s="4"/>
      <c r="J102" s="12"/>
      <c r="K102" s="4"/>
      <c r="L102" s="12"/>
      <c r="M102" s="12"/>
      <c r="N102" s="12"/>
      <c r="O102" s="4"/>
      <c r="P102" s="12"/>
      <c r="Q102" s="12"/>
      <c r="R102" s="4"/>
      <c r="S102" s="12"/>
      <c r="T102" s="12"/>
      <c r="U102" s="12"/>
      <c r="V102" s="12"/>
      <c r="W102" s="4"/>
      <c r="X102" s="4"/>
      <c r="Y102" s="12"/>
      <c r="Z102" s="12"/>
      <c r="AA102" s="4"/>
      <c r="AB102" s="4"/>
      <c r="AC102" s="4"/>
      <c r="AD102" s="12"/>
      <c r="AE102" s="12"/>
      <c r="AF102" s="4"/>
      <c r="AG102" s="4"/>
      <c r="AH102" s="4"/>
      <c r="AI102" s="4"/>
      <c r="AJ102" s="4"/>
      <c r="AK102" s="4"/>
      <c r="AL102" s="4"/>
    </row>
    <row r="103" spans="2:38" ht="99.95" customHeight="1" x14ac:dyDescent="0.15">
      <c r="B103" s="4"/>
      <c r="C103" s="12"/>
      <c r="D103" s="4"/>
      <c r="E103" s="4"/>
      <c r="F103" s="12"/>
      <c r="G103" s="12"/>
      <c r="H103" s="12"/>
      <c r="I103" s="4"/>
      <c r="J103" s="12"/>
      <c r="K103" s="4"/>
      <c r="L103" s="12"/>
      <c r="M103" s="12"/>
      <c r="N103" s="12"/>
      <c r="O103" s="4"/>
      <c r="P103" s="12"/>
      <c r="Q103" s="12"/>
      <c r="R103" s="4"/>
      <c r="S103" s="12"/>
      <c r="T103" s="12"/>
      <c r="U103" s="12"/>
      <c r="V103" s="12"/>
      <c r="W103" s="4"/>
      <c r="X103" s="4"/>
      <c r="Y103" s="12"/>
      <c r="Z103" s="12"/>
      <c r="AA103" s="4"/>
      <c r="AB103" s="4"/>
      <c r="AC103" s="4"/>
      <c r="AD103" s="12"/>
      <c r="AE103" s="12"/>
      <c r="AF103" s="4"/>
      <c r="AG103" s="4"/>
      <c r="AH103" s="4"/>
      <c r="AI103" s="4"/>
      <c r="AJ103" s="4"/>
      <c r="AK103" s="4"/>
      <c r="AL103" s="4"/>
    </row>
    <row r="104" spans="2:38" ht="99.95" customHeight="1" x14ac:dyDescent="0.15">
      <c r="B104" s="4"/>
      <c r="C104" s="12"/>
      <c r="D104" s="4"/>
      <c r="E104" s="4"/>
      <c r="F104" s="12"/>
      <c r="G104" s="12"/>
      <c r="H104" s="12"/>
      <c r="I104" s="4"/>
      <c r="J104" s="12"/>
      <c r="K104" s="4"/>
      <c r="L104" s="12"/>
      <c r="M104" s="12"/>
      <c r="N104" s="12"/>
      <c r="O104" s="4"/>
      <c r="P104" s="12"/>
      <c r="Q104" s="12"/>
      <c r="R104" s="4"/>
      <c r="S104" s="12"/>
      <c r="T104" s="12"/>
      <c r="U104" s="12"/>
      <c r="V104" s="12"/>
      <c r="W104" s="4"/>
      <c r="X104" s="4"/>
      <c r="Y104" s="12"/>
      <c r="Z104" s="12"/>
      <c r="AA104" s="4"/>
      <c r="AB104" s="4"/>
      <c r="AC104" s="4"/>
      <c r="AD104" s="12"/>
      <c r="AE104" s="12"/>
      <c r="AF104" s="4"/>
      <c r="AG104" s="4"/>
      <c r="AH104" s="4"/>
      <c r="AI104" s="4"/>
      <c r="AJ104" s="4"/>
      <c r="AK104" s="4"/>
      <c r="AL104" s="4"/>
    </row>
    <row r="105" spans="2:38" ht="99.95" customHeight="1" x14ac:dyDescent="0.15">
      <c r="B105" s="4"/>
      <c r="C105" s="12"/>
      <c r="D105" s="4"/>
      <c r="E105" s="4"/>
      <c r="F105" s="12"/>
      <c r="G105" s="12"/>
      <c r="H105" s="12"/>
      <c r="I105" s="4"/>
      <c r="J105" s="12"/>
      <c r="K105" s="4"/>
      <c r="L105" s="12"/>
      <c r="M105" s="12"/>
      <c r="N105" s="12"/>
      <c r="O105" s="4"/>
      <c r="P105" s="12"/>
      <c r="Q105" s="12"/>
      <c r="R105" s="4"/>
      <c r="S105" s="12"/>
      <c r="T105" s="12"/>
      <c r="U105" s="12"/>
      <c r="V105" s="12"/>
      <c r="W105" s="4"/>
      <c r="X105" s="4"/>
      <c r="Y105" s="12"/>
      <c r="Z105" s="12"/>
      <c r="AA105" s="4"/>
      <c r="AB105" s="4"/>
      <c r="AC105" s="4"/>
      <c r="AD105" s="12"/>
      <c r="AE105" s="12"/>
      <c r="AF105" s="4"/>
      <c r="AG105" s="4"/>
      <c r="AH105" s="4"/>
      <c r="AI105" s="4"/>
      <c r="AJ105" s="4"/>
      <c r="AK105" s="4"/>
      <c r="AL105" s="4"/>
    </row>
    <row r="106" spans="2:38" ht="99.95" customHeight="1" x14ac:dyDescent="0.15">
      <c r="B106" s="4"/>
      <c r="C106" s="12"/>
      <c r="D106" s="4"/>
      <c r="E106" s="4"/>
      <c r="F106" s="12"/>
      <c r="G106" s="12"/>
      <c r="H106" s="12"/>
      <c r="I106" s="4"/>
      <c r="J106" s="12"/>
      <c r="K106" s="4"/>
      <c r="L106" s="12"/>
      <c r="M106" s="12"/>
      <c r="N106" s="12"/>
      <c r="O106" s="4"/>
      <c r="P106" s="12"/>
      <c r="Q106" s="12"/>
      <c r="R106" s="4"/>
      <c r="S106" s="12"/>
      <c r="T106" s="12"/>
      <c r="U106" s="12"/>
      <c r="V106" s="12"/>
      <c r="W106" s="4"/>
      <c r="X106" s="4"/>
      <c r="Y106" s="12"/>
      <c r="Z106" s="12"/>
      <c r="AA106" s="4"/>
      <c r="AB106" s="4"/>
      <c r="AC106" s="4"/>
      <c r="AD106" s="12"/>
      <c r="AE106" s="12"/>
      <c r="AF106" s="4"/>
      <c r="AG106" s="4"/>
      <c r="AH106" s="4"/>
      <c r="AI106" s="4"/>
      <c r="AJ106" s="4"/>
      <c r="AK106" s="4"/>
      <c r="AL106" s="4"/>
    </row>
    <row r="107" spans="2:38" ht="99.95" customHeight="1" x14ac:dyDescent="0.15">
      <c r="B107" s="4"/>
      <c r="C107" s="12"/>
      <c r="D107" s="4"/>
      <c r="E107" s="4"/>
      <c r="F107" s="12"/>
      <c r="G107" s="12"/>
      <c r="H107" s="12"/>
      <c r="I107" s="4"/>
      <c r="J107" s="12"/>
      <c r="K107" s="4"/>
      <c r="L107" s="12"/>
      <c r="M107" s="12"/>
      <c r="N107" s="12"/>
      <c r="O107" s="4"/>
      <c r="P107" s="12"/>
      <c r="Q107" s="12"/>
      <c r="R107" s="4"/>
      <c r="S107" s="12"/>
      <c r="T107" s="12"/>
      <c r="U107" s="12"/>
      <c r="V107" s="12"/>
      <c r="W107" s="4"/>
      <c r="X107" s="4"/>
      <c r="Y107" s="12"/>
      <c r="Z107" s="12"/>
      <c r="AA107" s="4"/>
      <c r="AB107" s="4"/>
      <c r="AC107" s="4"/>
      <c r="AD107" s="12"/>
      <c r="AE107" s="12"/>
      <c r="AF107" s="4"/>
      <c r="AG107" s="4"/>
      <c r="AH107" s="4"/>
      <c r="AI107" s="4"/>
      <c r="AJ107" s="4"/>
      <c r="AK107" s="4"/>
      <c r="AL107" s="4"/>
    </row>
    <row r="108" spans="2:38" ht="99.95" customHeight="1" x14ac:dyDescent="0.15">
      <c r="B108" s="4"/>
      <c r="C108" s="12"/>
      <c r="D108" s="4"/>
      <c r="E108" s="4"/>
      <c r="F108" s="12"/>
      <c r="G108" s="12"/>
      <c r="H108" s="12"/>
      <c r="I108" s="4"/>
      <c r="J108" s="12"/>
      <c r="K108" s="4"/>
      <c r="L108" s="12"/>
      <c r="M108" s="12"/>
      <c r="N108" s="12"/>
      <c r="O108" s="4"/>
      <c r="P108" s="12"/>
      <c r="Q108" s="12"/>
      <c r="R108" s="4"/>
      <c r="S108" s="12"/>
      <c r="T108" s="12"/>
      <c r="U108" s="12"/>
      <c r="V108" s="12"/>
      <c r="W108" s="4"/>
      <c r="X108" s="4"/>
      <c r="Y108" s="12"/>
      <c r="Z108" s="12"/>
      <c r="AA108" s="4"/>
      <c r="AB108" s="4"/>
      <c r="AC108" s="4"/>
      <c r="AD108" s="12"/>
      <c r="AE108" s="12"/>
      <c r="AF108" s="4"/>
      <c r="AG108" s="4"/>
      <c r="AH108" s="4"/>
      <c r="AI108" s="4"/>
      <c r="AJ108" s="4"/>
      <c r="AK108" s="4"/>
      <c r="AL108" s="4"/>
    </row>
    <row r="109" spans="2:38" ht="99.95" customHeight="1" x14ac:dyDescent="0.15">
      <c r="B109" s="4"/>
      <c r="C109" s="12"/>
      <c r="D109" s="4"/>
      <c r="E109" s="4"/>
      <c r="F109" s="12"/>
      <c r="G109" s="12"/>
      <c r="H109" s="12"/>
      <c r="I109" s="4"/>
      <c r="J109" s="12"/>
      <c r="K109" s="4"/>
      <c r="L109" s="12"/>
      <c r="M109" s="12"/>
      <c r="N109" s="12"/>
      <c r="O109" s="4"/>
      <c r="P109" s="12"/>
      <c r="Q109" s="12"/>
      <c r="R109" s="4"/>
      <c r="S109" s="12"/>
      <c r="T109" s="12"/>
      <c r="U109" s="12"/>
      <c r="V109" s="12"/>
      <c r="W109" s="4"/>
      <c r="X109" s="4"/>
      <c r="Y109" s="12"/>
      <c r="Z109" s="12"/>
      <c r="AA109" s="4"/>
      <c r="AB109" s="4"/>
      <c r="AC109" s="4"/>
      <c r="AD109" s="12"/>
      <c r="AE109" s="12"/>
      <c r="AF109" s="4"/>
      <c r="AG109" s="4"/>
      <c r="AH109" s="4"/>
      <c r="AI109" s="4"/>
      <c r="AJ109" s="4"/>
      <c r="AK109" s="4"/>
      <c r="AL109" s="4"/>
    </row>
    <row r="110" spans="2:38" ht="99.95" customHeight="1" x14ac:dyDescent="0.15">
      <c r="B110" s="4"/>
      <c r="C110" s="12"/>
      <c r="D110" s="4"/>
      <c r="E110" s="4"/>
      <c r="F110" s="12"/>
      <c r="G110" s="12"/>
      <c r="H110" s="12"/>
      <c r="I110" s="4"/>
      <c r="J110" s="12"/>
      <c r="K110" s="4"/>
      <c r="L110" s="12"/>
      <c r="M110" s="12"/>
      <c r="N110" s="12"/>
      <c r="O110" s="4"/>
      <c r="P110" s="12"/>
      <c r="Q110" s="12"/>
      <c r="R110" s="4"/>
      <c r="S110" s="12"/>
      <c r="T110" s="12"/>
      <c r="U110" s="12"/>
      <c r="V110" s="12"/>
      <c r="W110" s="4"/>
      <c r="X110" s="4"/>
      <c r="Y110" s="12"/>
      <c r="Z110" s="12"/>
      <c r="AA110" s="4"/>
      <c r="AB110" s="4"/>
      <c r="AC110" s="4"/>
      <c r="AD110" s="12"/>
      <c r="AE110" s="12"/>
      <c r="AF110" s="4"/>
      <c r="AG110" s="4"/>
      <c r="AH110" s="4"/>
      <c r="AI110" s="4"/>
      <c r="AJ110" s="4"/>
      <c r="AK110" s="4"/>
      <c r="AL110" s="4"/>
    </row>
    <row r="111" spans="2:38" ht="99.95" customHeight="1" x14ac:dyDescent="0.15">
      <c r="B111" s="4"/>
      <c r="C111" s="12"/>
      <c r="D111" s="4"/>
      <c r="E111" s="4"/>
      <c r="F111" s="12"/>
      <c r="G111" s="12"/>
      <c r="H111" s="12"/>
      <c r="I111" s="4"/>
      <c r="J111" s="12"/>
      <c r="K111" s="4"/>
      <c r="L111" s="12"/>
      <c r="M111" s="12"/>
      <c r="N111" s="12"/>
      <c r="O111" s="4"/>
      <c r="P111" s="12"/>
      <c r="Q111" s="12"/>
      <c r="R111" s="4"/>
      <c r="S111" s="12"/>
      <c r="T111" s="12"/>
      <c r="U111" s="12"/>
      <c r="V111" s="12"/>
      <c r="W111" s="4"/>
      <c r="X111" s="4"/>
      <c r="Y111" s="12"/>
      <c r="Z111" s="12"/>
      <c r="AA111" s="4"/>
      <c r="AB111" s="4"/>
      <c r="AC111" s="4"/>
      <c r="AD111" s="12"/>
      <c r="AE111" s="12"/>
      <c r="AF111" s="4"/>
      <c r="AG111" s="4"/>
      <c r="AH111" s="4"/>
      <c r="AI111" s="4"/>
      <c r="AJ111" s="4"/>
      <c r="AK111" s="4"/>
      <c r="AL111" s="4"/>
    </row>
    <row r="112" spans="2:38" ht="99.95" customHeight="1" x14ac:dyDescent="0.15">
      <c r="B112" s="4"/>
      <c r="C112" s="12"/>
      <c r="D112" s="4"/>
      <c r="E112" s="4"/>
      <c r="F112" s="12"/>
      <c r="G112" s="12"/>
      <c r="H112" s="12"/>
      <c r="I112" s="4"/>
      <c r="J112" s="12"/>
      <c r="K112" s="4"/>
      <c r="L112" s="12"/>
      <c r="M112" s="12"/>
      <c r="N112" s="12"/>
      <c r="O112" s="4"/>
      <c r="P112" s="12"/>
      <c r="Q112" s="12"/>
      <c r="R112" s="4"/>
      <c r="S112" s="12"/>
      <c r="T112" s="12"/>
      <c r="U112" s="12"/>
      <c r="V112" s="12"/>
      <c r="W112" s="4"/>
      <c r="X112" s="4"/>
      <c r="Y112" s="12"/>
      <c r="Z112" s="12"/>
      <c r="AA112" s="4"/>
      <c r="AB112" s="4"/>
      <c r="AC112" s="4"/>
      <c r="AD112" s="12"/>
      <c r="AE112" s="12"/>
      <c r="AF112" s="4"/>
      <c r="AG112" s="4"/>
      <c r="AH112" s="4"/>
      <c r="AI112" s="4"/>
      <c r="AJ112" s="4"/>
      <c r="AK112" s="4"/>
      <c r="AL112" s="4"/>
    </row>
    <row r="113" spans="2:38" ht="99.95" customHeight="1" x14ac:dyDescent="0.15">
      <c r="B113" s="4"/>
      <c r="C113" s="12"/>
      <c r="D113" s="4"/>
      <c r="E113" s="4"/>
      <c r="F113" s="12"/>
      <c r="G113" s="12"/>
      <c r="H113" s="12"/>
      <c r="I113" s="4"/>
      <c r="J113" s="12"/>
      <c r="K113" s="4"/>
      <c r="L113" s="12"/>
      <c r="M113" s="12"/>
      <c r="N113" s="12"/>
      <c r="O113" s="4"/>
      <c r="P113" s="12"/>
      <c r="Q113" s="12"/>
      <c r="R113" s="4"/>
      <c r="S113" s="12"/>
      <c r="T113" s="12"/>
      <c r="U113" s="12"/>
      <c r="V113" s="12"/>
      <c r="W113" s="4"/>
      <c r="X113" s="4"/>
      <c r="Y113" s="12"/>
      <c r="Z113" s="12"/>
      <c r="AA113" s="4"/>
      <c r="AB113" s="4"/>
      <c r="AC113" s="4"/>
      <c r="AD113" s="12"/>
      <c r="AE113" s="12"/>
      <c r="AF113" s="4"/>
      <c r="AG113" s="4"/>
      <c r="AH113" s="4"/>
      <c r="AI113" s="4"/>
      <c r="AJ113" s="4"/>
      <c r="AK113" s="4"/>
      <c r="AL113" s="4"/>
    </row>
    <row r="114" spans="2:38" ht="99.95" customHeight="1" x14ac:dyDescent="0.15">
      <c r="B114" s="4"/>
      <c r="C114" s="12"/>
      <c r="D114" s="4"/>
      <c r="E114" s="4"/>
      <c r="F114" s="12"/>
      <c r="G114" s="12"/>
      <c r="H114" s="12"/>
      <c r="I114" s="4"/>
      <c r="J114" s="12"/>
      <c r="K114" s="4"/>
      <c r="L114" s="12"/>
      <c r="M114" s="12"/>
      <c r="N114" s="12"/>
      <c r="O114" s="4"/>
      <c r="P114" s="12"/>
      <c r="Q114" s="12"/>
      <c r="R114" s="4"/>
      <c r="S114" s="12"/>
      <c r="T114" s="12"/>
      <c r="U114" s="12"/>
      <c r="V114" s="12"/>
      <c r="W114" s="4"/>
      <c r="X114" s="4"/>
      <c r="Y114" s="12"/>
      <c r="Z114" s="12"/>
      <c r="AA114" s="4"/>
      <c r="AB114" s="4"/>
      <c r="AC114" s="4"/>
      <c r="AD114" s="12"/>
      <c r="AE114" s="12"/>
      <c r="AF114" s="4"/>
      <c r="AG114" s="4"/>
      <c r="AH114" s="4"/>
      <c r="AI114" s="4"/>
      <c r="AJ114" s="4"/>
      <c r="AK114" s="4"/>
      <c r="AL114" s="4"/>
    </row>
    <row r="115" spans="2:38" ht="99.95" customHeight="1" x14ac:dyDescent="0.15">
      <c r="B115" s="4"/>
      <c r="C115" s="12"/>
      <c r="D115" s="4"/>
      <c r="E115" s="4"/>
      <c r="F115" s="12"/>
      <c r="G115" s="12"/>
      <c r="H115" s="12"/>
      <c r="I115" s="4"/>
      <c r="J115" s="12"/>
      <c r="K115" s="4"/>
      <c r="L115" s="12"/>
      <c r="M115" s="12"/>
      <c r="N115" s="12"/>
      <c r="O115" s="4"/>
      <c r="P115" s="12"/>
      <c r="Q115" s="12"/>
      <c r="R115" s="4"/>
      <c r="S115" s="12"/>
      <c r="T115" s="12"/>
      <c r="U115" s="12"/>
      <c r="V115" s="12"/>
      <c r="W115" s="4"/>
      <c r="X115" s="4"/>
      <c r="Y115" s="12"/>
      <c r="Z115" s="12"/>
      <c r="AA115" s="4"/>
      <c r="AB115" s="4"/>
      <c r="AC115" s="4"/>
      <c r="AD115" s="12"/>
      <c r="AE115" s="12"/>
      <c r="AF115" s="4"/>
      <c r="AG115" s="4"/>
      <c r="AH115" s="4"/>
      <c r="AI115" s="4"/>
      <c r="AJ115" s="4"/>
      <c r="AK115" s="4"/>
      <c r="AL115" s="4"/>
    </row>
    <row r="116" spans="2:38" ht="99.95" customHeight="1" x14ac:dyDescent="0.15">
      <c r="B116" s="4"/>
      <c r="C116" s="12"/>
      <c r="D116" s="4"/>
      <c r="E116" s="4"/>
      <c r="F116" s="12"/>
      <c r="G116" s="12"/>
      <c r="H116" s="12"/>
      <c r="I116" s="4"/>
      <c r="J116" s="12"/>
      <c r="K116" s="4"/>
      <c r="L116" s="12"/>
      <c r="M116" s="12"/>
      <c r="N116" s="12"/>
      <c r="O116" s="4"/>
      <c r="P116" s="12"/>
      <c r="Q116" s="12"/>
      <c r="R116" s="4"/>
      <c r="S116" s="12"/>
      <c r="T116" s="12"/>
      <c r="U116" s="12"/>
      <c r="V116" s="12"/>
      <c r="W116" s="4"/>
      <c r="X116" s="4"/>
      <c r="Y116" s="12"/>
      <c r="Z116" s="12"/>
      <c r="AA116" s="4"/>
      <c r="AB116" s="4"/>
      <c r="AC116" s="4"/>
      <c r="AD116" s="12"/>
      <c r="AE116" s="12"/>
      <c r="AF116" s="4"/>
      <c r="AG116" s="4"/>
      <c r="AH116" s="4"/>
      <c r="AI116" s="4"/>
      <c r="AJ116" s="4"/>
      <c r="AK116" s="4"/>
      <c r="AL116" s="4"/>
    </row>
    <row r="117" spans="2:38" ht="99.95" customHeight="1" x14ac:dyDescent="0.15">
      <c r="B117" s="4"/>
      <c r="C117" s="12"/>
      <c r="D117" s="4"/>
      <c r="E117" s="4"/>
      <c r="F117" s="12"/>
      <c r="G117" s="12"/>
      <c r="H117" s="12"/>
      <c r="I117" s="4"/>
      <c r="J117" s="12"/>
      <c r="K117" s="4"/>
      <c r="L117" s="12"/>
      <c r="M117" s="12"/>
      <c r="N117" s="12"/>
      <c r="O117" s="4"/>
      <c r="P117" s="12"/>
      <c r="Q117" s="12"/>
      <c r="R117" s="4"/>
      <c r="S117" s="12"/>
      <c r="T117" s="12"/>
      <c r="U117" s="12"/>
      <c r="V117" s="12"/>
      <c r="W117" s="4"/>
      <c r="X117" s="4"/>
      <c r="Y117" s="12"/>
      <c r="Z117" s="12"/>
      <c r="AA117" s="4"/>
      <c r="AB117" s="4"/>
      <c r="AC117" s="4"/>
      <c r="AD117" s="12"/>
      <c r="AE117" s="12"/>
      <c r="AF117" s="4"/>
      <c r="AG117" s="4"/>
      <c r="AH117" s="4"/>
      <c r="AI117" s="4"/>
      <c r="AJ117" s="4"/>
      <c r="AK117" s="4"/>
      <c r="AL117" s="4"/>
    </row>
    <row r="118" spans="2:38" ht="99.95" customHeight="1" x14ac:dyDescent="0.15">
      <c r="B118" s="3"/>
      <c r="C118" s="3"/>
    </row>
  </sheetData>
  <autoFilter ref="A1:AD64"/>
  <phoneticPr fontId="5" type="noConversion"/>
  <dataValidations count="4">
    <dataValidation type="list" allowBlank="1" showInputMessage="1" showErrorMessage="1" sqref="R62:S64 R2:R61">
      <formula1>品质名称</formula1>
    </dataValidation>
    <dataValidation type="list" allowBlank="1" showInputMessage="1" showErrorMessage="1" sqref="E2:E58">
      <formula1>移动速度名称</formula1>
    </dataValidation>
    <dataValidation type="list" allowBlank="1" showInputMessage="1" showErrorMessage="1" sqref="I2:I58">
      <formula1>兵种定位</formula1>
    </dataValidation>
    <dataValidation type="list" allowBlank="1" showInputMessage="1" showErrorMessage="1" sqref="AC2:AC58">
      <formula1>寻敌范围</formula1>
    </dataValidation>
  </dataValidations>
  <pageMargins left="0.7" right="0.7" top="0.75" bottom="0.75" header="0.3" footer="0.3"/>
  <pageSetup paperSize="9" orientation="portrait" r:id="rId1"/>
  <drawing r:id="rId2"/>
  <legacy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cellIs" priority="17" operator="equal" id="{C696904F-2D74-45C5-AE8F-0FD90F48C277}">
            <xm:f>名称表!$A$4</xm:f>
            <x14:dxf>
              <fill>
                <patternFill>
                  <bgColor theme="2" tint="-0.24994659260841701"/>
                </patternFill>
              </fill>
            </x14:dxf>
          </x14:cfRule>
          <x14:cfRule type="cellIs" priority="18" operator="equal" id="{0C837203-98F4-4BBA-B08B-F9EF060F56E5}">
            <xm:f>名称表!$A$5</xm:f>
            <x14:dxf>
              <fill>
                <patternFill>
                  <bgColor theme="3" tint="0.39994506668294322"/>
                </patternFill>
              </fill>
            </x14:dxf>
          </x14:cfRule>
          <x14:cfRule type="cellIs" priority="19" operator="equal" id="{1F7216D8-4703-43FE-8B17-40D31EF2DEE2}">
            <xm:f>名称表!$A$6</xm:f>
            <x14:dxf>
              <fill>
                <patternFill>
                  <bgColor rgb="FF7030A0"/>
                </patternFill>
              </fill>
            </x14:dxf>
          </x14:cfRule>
          <x14:cfRule type="cellIs" priority="20" operator="equal" id="{72324293-C6FA-4870-85C6-1B66901B397E}">
            <xm:f>名称表!$A$7</xm:f>
            <x14:dxf>
              <fill>
                <patternFill>
                  <bgColor theme="9" tint="-0.24994659260841701"/>
                </patternFill>
              </fill>
            </x14:dxf>
          </x14:cfRule>
          <xm:sqref>S58 S54 R54:R61 U58:V58 T58:T64 T54:V57 R2:V53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M89"/>
  <sheetViews>
    <sheetView tabSelected="1" workbookViewId="0">
      <selection activeCell="D11" sqref="D11"/>
    </sheetView>
  </sheetViews>
  <sheetFormatPr defaultRowHeight="13.5" x14ac:dyDescent="0.15"/>
  <cols>
    <col min="1" max="2" width="10" customWidth="1"/>
    <col min="3" max="3" width="9.5" customWidth="1"/>
    <col min="4" max="4" width="12.75" bestFit="1" customWidth="1"/>
    <col min="5" max="5" width="9.625" customWidth="1"/>
    <col min="6" max="6" width="8.75" customWidth="1"/>
    <col min="7" max="7" width="9.125" customWidth="1"/>
    <col min="9" max="10" width="8.625" customWidth="1"/>
    <col min="12" max="12" width="9.625" customWidth="1"/>
    <col min="19" max="19" width="9.125" customWidth="1"/>
    <col min="22" max="22" width="8.875" customWidth="1"/>
    <col min="28" max="30" width="9" style="70"/>
    <col min="31" max="31" width="11.625" bestFit="1" customWidth="1"/>
    <col min="34" max="34" width="9.625" customWidth="1"/>
    <col min="35" max="35" width="9.25" customWidth="1"/>
    <col min="36" max="36" width="9.5" bestFit="1" customWidth="1"/>
  </cols>
  <sheetData>
    <row r="1" spans="1:39" ht="20.25" customHeight="1" x14ac:dyDescent="0.15">
      <c r="B1">
        <v>1.67</v>
      </c>
      <c r="C1">
        <v>2</v>
      </c>
      <c r="D1">
        <v>1.9</v>
      </c>
    </row>
    <row r="2" spans="1:39" s="20" customFormat="1" ht="20.25" customHeight="1" x14ac:dyDescent="0.15">
      <c r="A2" s="93" t="s">
        <v>3015</v>
      </c>
      <c r="B2" s="12">
        <v>1</v>
      </c>
      <c r="C2" s="47"/>
      <c r="D2" s="47"/>
      <c r="E2" s="47"/>
      <c r="F2" s="47"/>
      <c r="G2" s="47"/>
      <c r="H2" s="47"/>
      <c r="I2" s="47"/>
      <c r="J2" s="47"/>
      <c r="L2" s="97" t="s">
        <v>1326</v>
      </c>
      <c r="M2" s="97"/>
      <c r="N2" s="97"/>
      <c r="O2" s="97"/>
      <c r="P2" s="97" t="s">
        <v>1331</v>
      </c>
      <c r="Q2" s="97"/>
      <c r="R2" s="97"/>
      <c r="S2" s="97" t="s">
        <v>1330</v>
      </c>
      <c r="T2" s="97"/>
      <c r="U2" s="97"/>
      <c r="V2" s="97"/>
      <c r="W2" s="97"/>
      <c r="X2" s="97"/>
      <c r="Y2" s="97"/>
      <c r="Z2" s="97"/>
      <c r="AA2" s="97"/>
      <c r="AB2" s="97" t="s">
        <v>3017</v>
      </c>
      <c r="AC2" s="97"/>
      <c r="AD2" s="97"/>
      <c r="AE2" s="97" t="s">
        <v>3016</v>
      </c>
      <c r="AF2" s="97"/>
      <c r="AG2" s="97"/>
      <c r="AH2" s="97"/>
      <c r="AI2" s="97"/>
      <c r="AJ2" s="97"/>
      <c r="AK2" s="97"/>
      <c r="AL2" s="97"/>
      <c r="AM2" s="97"/>
    </row>
    <row r="3" spans="1:39" ht="30.75" customHeight="1" x14ac:dyDescent="0.15">
      <c r="A3" s="97" t="s">
        <v>69</v>
      </c>
      <c r="B3" s="97"/>
      <c r="C3" s="97"/>
      <c r="D3" s="97"/>
      <c r="E3" s="97"/>
      <c r="F3" s="97"/>
      <c r="G3" s="97"/>
      <c r="H3" s="97"/>
      <c r="I3" s="97"/>
      <c r="J3" s="13"/>
      <c r="L3" s="11"/>
      <c r="M3" s="11" t="s">
        <v>1327</v>
      </c>
      <c r="N3" s="11" t="s">
        <v>1328</v>
      </c>
      <c r="O3" s="11" t="s">
        <v>1329</v>
      </c>
      <c r="P3" s="11" t="s">
        <v>18</v>
      </c>
      <c r="Q3" s="11" t="s">
        <v>106</v>
      </c>
      <c r="R3" s="11" t="s">
        <v>91</v>
      </c>
      <c r="S3" s="11" t="s">
        <v>1332</v>
      </c>
      <c r="T3" s="11" t="s">
        <v>1333</v>
      </c>
      <c r="U3" s="11" t="s">
        <v>1334</v>
      </c>
      <c r="V3" s="11" t="s">
        <v>1335</v>
      </c>
      <c r="W3" s="11" t="s">
        <v>1336</v>
      </c>
      <c r="X3" s="11" t="s">
        <v>1337</v>
      </c>
      <c r="Y3" s="11" t="s">
        <v>1338</v>
      </c>
      <c r="Z3" s="11" t="s">
        <v>1339</v>
      </c>
      <c r="AA3" s="11" t="s">
        <v>1340</v>
      </c>
      <c r="AB3" s="11" t="s">
        <v>3018</v>
      </c>
      <c r="AC3" s="11" t="s">
        <v>3020</v>
      </c>
      <c r="AD3" s="11" t="s">
        <v>3019</v>
      </c>
      <c r="AE3" s="11" t="s">
        <v>1332</v>
      </c>
      <c r="AF3" s="11" t="s">
        <v>1333</v>
      </c>
      <c r="AG3" s="11" t="s">
        <v>1334</v>
      </c>
      <c r="AH3" s="11" t="s">
        <v>1335</v>
      </c>
      <c r="AI3" s="11" t="s">
        <v>1336</v>
      </c>
      <c r="AJ3" s="11" t="s">
        <v>1337</v>
      </c>
      <c r="AK3" s="11" t="s">
        <v>1338</v>
      </c>
      <c r="AL3" s="11" t="s">
        <v>1339</v>
      </c>
      <c r="AM3" s="11" t="s">
        <v>1340</v>
      </c>
    </row>
    <row r="4" spans="1:39" ht="30" customHeight="1" x14ac:dyDescent="0.15">
      <c r="B4" s="11" t="s">
        <v>70</v>
      </c>
      <c r="C4" s="11" t="s">
        <v>106</v>
      </c>
      <c r="D4" s="11" t="s">
        <v>91</v>
      </c>
      <c r="E4" s="11" t="s">
        <v>109</v>
      </c>
      <c r="F4" s="11" t="s">
        <v>1324</v>
      </c>
      <c r="G4" s="11" t="s">
        <v>114</v>
      </c>
      <c r="H4" s="11" t="s">
        <v>115</v>
      </c>
      <c r="I4" s="11" t="s">
        <v>1342</v>
      </c>
      <c r="J4" s="11" t="s">
        <v>132</v>
      </c>
      <c r="L4" s="21" t="s">
        <v>110</v>
      </c>
      <c r="M4" s="15">
        <f t="shared" ref="M4:O7" si="0">E$8*(E$7-T攻击范围)/$J16</f>
        <v>1.925</v>
      </c>
      <c r="N4" s="15">
        <f t="shared" si="0"/>
        <v>2.9999999999999996</v>
      </c>
      <c r="O4" s="15">
        <f t="shared" si="0"/>
        <v>2.4224999999999999</v>
      </c>
      <c r="P4" s="15">
        <f>B$9*$I16</f>
        <v>6.8930000000000007</v>
      </c>
      <c r="Q4" s="15">
        <f t="shared" ref="Q4:R4" si="1">C$9*$I16</f>
        <v>4.7824</v>
      </c>
      <c r="R4" s="15">
        <f t="shared" si="1"/>
        <v>3.5746000000000002</v>
      </c>
      <c r="S4" s="25">
        <f>($P4-M4)/$P4</f>
        <v>0.72073117655592633</v>
      </c>
      <c r="T4" s="25">
        <f t="shared" ref="T4:U4" si="2">($P4-N4)/$P4</f>
        <v>0.56477585956767751</v>
      </c>
      <c r="U4" s="25">
        <f t="shared" si="2"/>
        <v>0.64855650660089958</v>
      </c>
      <c r="V4" s="25">
        <f>($Q4-M4)/$Q4</f>
        <v>0.59748243559718972</v>
      </c>
      <c r="W4" s="25">
        <f t="shared" ref="W4:X4" si="3">($Q4-N4)/$Q4</f>
        <v>0.37269989963198402</v>
      </c>
      <c r="X4" s="25">
        <f t="shared" si="3"/>
        <v>0.49345516895282704</v>
      </c>
      <c r="Y4" s="25">
        <f>($R4-M4)/$R4</f>
        <v>0.46147820735187156</v>
      </c>
      <c r="Z4" s="25">
        <f t="shared" ref="Z4:AA4" si="4">($R4-N4)/$R4</f>
        <v>0.16074525821070906</v>
      </c>
      <c r="AA4" s="25">
        <f t="shared" si="4"/>
        <v>0.32230179600514752</v>
      </c>
      <c r="AB4" s="95">
        <f>E$9*$I16</f>
        <v>2.6717999999999997</v>
      </c>
      <c r="AC4" s="95">
        <f t="shared" ref="AC4:AD4" si="5">F$9*$I16</f>
        <v>1.83</v>
      </c>
      <c r="AD4" s="95">
        <f t="shared" si="5"/>
        <v>2.1593999999999998</v>
      </c>
      <c r="AE4" s="26">
        <f>IF(S4&gt;0,(S4*$P4-AB4/$B$8/$H16*E$8)/$P4,0)</f>
        <v>0.19120847236326721</v>
      </c>
      <c r="AF4" s="26">
        <f t="shared" ref="AF4:AG4" si="6">IF(T4&gt;0,(T4*$P4-AC4/$B$8/$H16*F$8)/$P4,0)</f>
        <v>0.23506060166440287</v>
      </c>
      <c r="AG4" s="26">
        <f t="shared" si="6"/>
        <v>0.25171122218851816</v>
      </c>
      <c r="AH4" s="26">
        <f>IF(V4&gt;0,(V4*$Q4-AB4/$C$8/$H16*E$8)/$Q4,0)</f>
        <v>0.14773066720833541</v>
      </c>
      <c r="AI4" s="26">
        <f t="shared" ref="AI4:AJ4" si="7">IF(W4&gt;0,(W4*$Q4-AC4/$C$8/$H16*F$8)/$Q4,0)</f>
        <v>9.2655211967691165E-2</v>
      </c>
      <c r="AJ4" s="26">
        <f t="shared" si="7"/>
        <v>0.15639338288008417</v>
      </c>
      <c r="AK4" s="26">
        <f>IF(V4&gt;0,(Y4*$R4-AB4/$D$8/$H16*E$8)/$R4,0)</f>
        <v>-1.1190063223855981E-4</v>
      </c>
      <c r="AL4" s="26">
        <f t="shared" ref="AL4:AM4" si="8">IF(W4&gt;0,(Z4*$R4-AC4/$D$8/$H16*F$8)/$R4,0)</f>
        <v>-0.12667074925137695</v>
      </c>
      <c r="AM4" s="26">
        <f t="shared" si="8"/>
        <v>-2.3632110576219202E-2</v>
      </c>
    </row>
    <row r="5" spans="1:39" ht="30" customHeight="1" x14ac:dyDescent="0.15">
      <c r="A5" s="1" t="s">
        <v>120</v>
      </c>
      <c r="B5" s="12">
        <v>17</v>
      </c>
      <c r="C5" s="4">
        <v>7</v>
      </c>
      <c r="D5" s="12">
        <v>4</v>
      </c>
      <c r="E5" s="4">
        <v>4</v>
      </c>
      <c r="F5" s="4">
        <v>3</v>
      </c>
      <c r="G5" s="4">
        <v>3.5</v>
      </c>
      <c r="H5" s="4">
        <v>2.8</v>
      </c>
      <c r="I5" s="12">
        <v>5</v>
      </c>
      <c r="J5" s="8">
        <v>2.7</v>
      </c>
      <c r="L5" s="21" t="s">
        <v>111</v>
      </c>
      <c r="M5" s="15">
        <f t="shared" si="0"/>
        <v>1.1000000000000001</v>
      </c>
      <c r="N5" s="15">
        <f t="shared" si="0"/>
        <v>1.7142857142857144</v>
      </c>
      <c r="O5" s="15">
        <f t="shared" si="0"/>
        <v>1.3842857142857143</v>
      </c>
      <c r="P5" s="15">
        <f t="shared" ref="P5:P7" si="9">B$9*$I17</f>
        <v>5.65</v>
      </c>
      <c r="Q5" s="15">
        <f t="shared" ref="Q5:Q7" si="10">C$9*$I17</f>
        <v>3.92</v>
      </c>
      <c r="R5" s="15">
        <f t="shared" ref="R5:R7" si="11">D$9*$I17</f>
        <v>2.93</v>
      </c>
      <c r="S5" s="25">
        <f t="shared" ref="S5:S7" si="12">($P5-M5)/$P5</f>
        <v>0.80530973451327437</v>
      </c>
      <c r="T5" s="25">
        <f t="shared" ref="T5:T7" si="13">($P5-N5)/$P5</f>
        <v>0.69658659924146649</v>
      </c>
      <c r="U5" s="25">
        <f t="shared" ref="U5:U7" si="14">($P5-O5)/$P5</f>
        <v>0.75499367888748425</v>
      </c>
      <c r="V5" s="25">
        <f t="shared" ref="V5:V7" si="15">($Q5-M5)/$Q5</f>
        <v>0.71938775510204078</v>
      </c>
      <c r="W5" s="25">
        <f t="shared" ref="W5:W7" si="16">($Q5-N5)/$Q5</f>
        <v>0.56268221574344024</v>
      </c>
      <c r="X5" s="25">
        <f t="shared" ref="X5:X7" si="17">($Q5-O5)/$Q5</f>
        <v>0.64686588921282795</v>
      </c>
      <c r="Y5" s="25">
        <f t="shared" ref="Y5:Y7" si="18">($R5-M5)/$R5</f>
        <v>0.62457337883959041</v>
      </c>
      <c r="Z5" s="25">
        <f t="shared" ref="Z5:Z7" si="19">($R5-N5)/$R5</f>
        <v>0.41491955143832276</v>
      </c>
      <c r="AA5" s="25">
        <f t="shared" ref="AA5:AA7" si="20">($R5-O5)/$R5</f>
        <v>0.5275475377864457</v>
      </c>
      <c r="AB5" s="95">
        <f t="shared" ref="AB5:AB7" si="21">E$9*$I17</f>
        <v>2.19</v>
      </c>
      <c r="AC5" s="95">
        <f t="shared" ref="AC5:AC7" si="22">F$9*$I17</f>
        <v>1.5</v>
      </c>
      <c r="AD5" s="95">
        <f t="shared" ref="AD5:AD7" si="23">G$9*$I17</f>
        <v>1.77</v>
      </c>
      <c r="AE5" s="26">
        <f t="shared" ref="AE5:AE7" si="24">IF(S5&gt;0,(S5*$P5-AB5/$B$8/$H17*E$8)/$P5,0)</f>
        <v>0.15929203539823023</v>
      </c>
      <c r="AF5" s="26">
        <f t="shared" ref="AF5:AF7" si="25">IF(T5&gt;0,(T5*$P5-AC5/$B$8/$H17*F$8)/$P5,0)</f>
        <v>0.29433398459947141</v>
      </c>
      <c r="AG5" s="26">
        <f t="shared" ref="AG5:AG7" si="26">IF(U5&gt;0,(U5*$P5-AD5/$B$8/$H17*G$8)/$P5,0)</f>
        <v>0.27084243190437884</v>
      </c>
      <c r="AH5" s="26">
        <f t="shared" ref="AH5:AH7" si="27">IF(V5&gt;0,(V5*$Q5-AB5/$C$8/$H17*E$8)/$Q5,0)</f>
        <v>0.1706905976676385</v>
      </c>
      <c r="AI5" s="26">
        <f t="shared" ref="AI5:AI7" si="28">IF(W5&gt;0,(W5*$Q5-AC5/$C$8/$H17*F$8)/$Q5,0)</f>
        <v>0.22102769679300288</v>
      </c>
      <c r="AJ5" s="26">
        <f t="shared" ref="AJ5:AJ7" si="29">IF(X5&gt;0,(X5*$Q5-AD5/$C$8/$H17*G$8)/$Q5,0)</f>
        <v>0.23565051020408159</v>
      </c>
      <c r="AK5" s="26">
        <f t="shared" ref="AK5:AK7" si="30">IF(V5&gt;0,(Y5*$R5-AB5/$D$8/$H17*E$8)/$R5,0)</f>
        <v>6.1433447098976086E-2</v>
      </c>
      <c r="AL5" s="26">
        <f t="shared" ref="AL5:AL7" si="31">IF(W5&gt;0,(Z5*$R5-AC5/$D$8/$H17*F$8)/$R5,0)</f>
        <v>6.4272022334577822E-2</v>
      </c>
      <c r="AM5" s="26">
        <f t="shared" ref="AM5:AM7" si="32">IF(X5&gt;0,(AA5*$R5-AD5/$D$8/$H17*G$8)/$R5,0)</f>
        <v>0.10550817175717833</v>
      </c>
    </row>
    <row r="6" spans="1:39" ht="30" customHeight="1" x14ac:dyDescent="0.15">
      <c r="A6" s="14" t="s">
        <v>119</v>
      </c>
      <c r="B6" s="12">
        <v>1.88</v>
      </c>
      <c r="C6" s="12">
        <v>2.2000000000000002</v>
      </c>
      <c r="D6" s="12">
        <v>2.15</v>
      </c>
      <c r="E6" s="12">
        <v>1.2</v>
      </c>
      <c r="F6" s="12">
        <v>0.75</v>
      </c>
      <c r="G6" s="12">
        <v>0.9</v>
      </c>
      <c r="H6" s="12">
        <v>0.7</v>
      </c>
      <c r="I6" s="12">
        <v>1.05</v>
      </c>
      <c r="J6" s="12">
        <v>0.7</v>
      </c>
      <c r="L6" s="21" t="s">
        <v>112</v>
      </c>
      <c r="M6" s="15">
        <f t="shared" si="0"/>
        <v>0.77</v>
      </c>
      <c r="N6" s="15">
        <f t="shared" si="0"/>
        <v>1.2</v>
      </c>
      <c r="O6" s="15">
        <f t="shared" si="0"/>
        <v>0.96899999999999997</v>
      </c>
      <c r="P6" s="15">
        <f t="shared" si="9"/>
        <v>5.1980000000000004</v>
      </c>
      <c r="Q6" s="15">
        <f t="shared" si="10"/>
        <v>3.6064000000000003</v>
      </c>
      <c r="R6" s="15">
        <f t="shared" si="11"/>
        <v>2.6956000000000002</v>
      </c>
      <c r="S6" s="25">
        <f t="shared" si="12"/>
        <v>0.85186610234705662</v>
      </c>
      <c r="T6" s="25">
        <f t="shared" si="13"/>
        <v>0.7691419776837245</v>
      </c>
      <c r="U6" s="25">
        <f t="shared" si="14"/>
        <v>0.81358214697960751</v>
      </c>
      <c r="V6" s="25">
        <f t="shared" si="15"/>
        <v>0.78649068322981364</v>
      </c>
      <c r="W6" s="25">
        <f t="shared" si="16"/>
        <v>0.66725820763087851</v>
      </c>
      <c r="X6" s="25">
        <f t="shared" si="17"/>
        <v>0.73131100266193438</v>
      </c>
      <c r="Y6" s="25">
        <f t="shared" si="18"/>
        <v>0.71434930998664492</v>
      </c>
      <c r="Z6" s="25">
        <f t="shared" si="19"/>
        <v>0.55483009348568046</v>
      </c>
      <c r="AA6" s="25">
        <f t="shared" si="20"/>
        <v>0.64052530048968703</v>
      </c>
      <c r="AB6" s="95">
        <f t="shared" si="21"/>
        <v>2.0148000000000001</v>
      </c>
      <c r="AC6" s="95">
        <f t="shared" si="22"/>
        <v>1.3800000000000001</v>
      </c>
      <c r="AD6" s="95">
        <f t="shared" si="23"/>
        <v>1.6284000000000001</v>
      </c>
      <c r="AE6" s="26">
        <f t="shared" si="24"/>
        <v>0.14967295113505211</v>
      </c>
      <c r="AF6" s="26">
        <f t="shared" si="25"/>
        <v>0.33191087481199066</v>
      </c>
      <c r="AG6" s="26">
        <f t="shared" si="26"/>
        <v>0.28733079156318864</v>
      </c>
      <c r="AH6" s="26">
        <f t="shared" si="27"/>
        <v>0.19008072949676763</v>
      </c>
      <c r="AI6" s="26">
        <f t="shared" si="28"/>
        <v>0.29589460007605545</v>
      </c>
      <c r="AJ6" s="26">
        <f t="shared" si="29"/>
        <v>0.28433776460894927</v>
      </c>
      <c r="AK6" s="26">
        <f t="shared" si="30"/>
        <v>0.10224068852945542</v>
      </c>
      <c r="AL6" s="26">
        <f t="shared" si="31"/>
        <v>0.17369147489465342</v>
      </c>
      <c r="AM6" s="26">
        <f t="shared" si="32"/>
        <v>0.1817868591535268</v>
      </c>
    </row>
    <row r="7" spans="1:39" s="20" customFormat="1" ht="30" customHeight="1" x14ac:dyDescent="0.15">
      <c r="A7" s="21" t="s">
        <v>1322</v>
      </c>
      <c r="B7" s="12">
        <v>1.2</v>
      </c>
      <c r="C7" s="12">
        <v>1.2</v>
      </c>
      <c r="D7" s="12">
        <v>1.2</v>
      </c>
      <c r="E7" s="12">
        <v>4</v>
      </c>
      <c r="F7" s="12">
        <v>6</v>
      </c>
      <c r="G7" s="12">
        <v>5</v>
      </c>
      <c r="H7" s="12">
        <v>4.5</v>
      </c>
      <c r="I7" s="12">
        <v>1.5</v>
      </c>
      <c r="J7" s="12">
        <v>5</v>
      </c>
      <c r="L7" s="21" t="s">
        <v>113</v>
      </c>
      <c r="M7" s="15">
        <f t="shared" si="0"/>
        <v>0.46666666666666673</v>
      </c>
      <c r="N7" s="15">
        <f t="shared" si="0"/>
        <v>0.72727272727272729</v>
      </c>
      <c r="O7" s="15">
        <f t="shared" si="0"/>
        <v>0.58727272727272728</v>
      </c>
      <c r="P7" s="15">
        <f t="shared" si="9"/>
        <v>4.7460000000000004</v>
      </c>
      <c r="Q7" s="15">
        <f t="shared" si="10"/>
        <v>3.2927999999999997</v>
      </c>
      <c r="R7" s="15">
        <f t="shared" si="11"/>
        <v>2.4611999999999998</v>
      </c>
      <c r="S7" s="25">
        <f t="shared" si="12"/>
        <v>0.90167158308751227</v>
      </c>
      <c r="T7" s="25">
        <f t="shared" si="13"/>
        <v>0.84676090870781129</v>
      </c>
      <c r="U7" s="25">
        <f t="shared" si="14"/>
        <v>0.87625943378155779</v>
      </c>
      <c r="V7" s="25">
        <f t="shared" si="15"/>
        <v>0.85827664399092962</v>
      </c>
      <c r="W7" s="25">
        <f t="shared" si="16"/>
        <v>0.77913243219365658</v>
      </c>
      <c r="X7" s="25">
        <f t="shared" si="17"/>
        <v>0.82164943899637777</v>
      </c>
      <c r="Y7" s="25">
        <f t="shared" si="18"/>
        <v>0.81039059537353042</v>
      </c>
      <c r="Z7" s="25">
        <f t="shared" si="19"/>
        <v>0.7045048239587488</v>
      </c>
      <c r="AA7" s="25">
        <f t="shared" si="20"/>
        <v>0.76138764534668968</v>
      </c>
      <c r="AB7" s="95">
        <f t="shared" si="21"/>
        <v>1.8395999999999999</v>
      </c>
      <c r="AC7" s="95">
        <f t="shared" si="22"/>
        <v>1.26</v>
      </c>
      <c r="AD7" s="95">
        <f t="shared" si="23"/>
        <v>1.4867999999999999</v>
      </c>
      <c r="AE7" s="26">
        <f t="shared" si="24"/>
        <v>0.13260289366484054</v>
      </c>
      <c r="AF7" s="26">
        <f t="shared" si="25"/>
        <v>0.36788874841972191</v>
      </c>
      <c r="AG7" s="26">
        <f t="shared" si="26"/>
        <v>0.29988890165881332</v>
      </c>
      <c r="AH7" s="26">
        <f t="shared" si="27"/>
        <v>0.20506574228330771</v>
      </c>
      <c r="AI7" s="26">
        <f t="shared" si="28"/>
        <v>0.37240086201456446</v>
      </c>
      <c r="AJ7" s="26">
        <f t="shared" si="29"/>
        <v>0.33210732112882257</v>
      </c>
      <c r="AK7" s="26">
        <f t="shared" si="30"/>
        <v>0.13998591472994179</v>
      </c>
      <c r="AL7" s="26">
        <f t="shared" si="31"/>
        <v>0.28706728931143338</v>
      </c>
      <c r="AM7" s="26">
        <f t="shared" si="32"/>
        <v>0.25895982864518069</v>
      </c>
    </row>
    <row r="8" spans="1:39" ht="30" customHeight="1" x14ac:dyDescent="0.15">
      <c r="A8" s="14" t="s">
        <v>116</v>
      </c>
      <c r="B8" s="15">
        <f>ROUND(SQRT(B6)/SQRT(B5),2)</f>
        <v>0.33</v>
      </c>
      <c r="C8" s="15">
        <f t="shared" ref="C8:J8" si="33">ROUND(SQRT(C6)/SQRT(C5),2)</f>
        <v>0.56000000000000005</v>
      </c>
      <c r="D8" s="15">
        <f t="shared" si="33"/>
        <v>0.73</v>
      </c>
      <c r="E8" s="15">
        <f t="shared" si="33"/>
        <v>0.55000000000000004</v>
      </c>
      <c r="F8" s="15">
        <f t="shared" si="33"/>
        <v>0.5</v>
      </c>
      <c r="G8" s="15">
        <f t="shared" si="33"/>
        <v>0.51</v>
      </c>
      <c r="H8" s="15">
        <f t="shared" si="33"/>
        <v>0.5</v>
      </c>
      <c r="I8" s="15">
        <f t="shared" si="33"/>
        <v>0.46</v>
      </c>
      <c r="J8" s="15">
        <f t="shared" si="33"/>
        <v>0.51</v>
      </c>
      <c r="L8" s="15"/>
      <c r="M8" s="15"/>
      <c r="N8" s="15"/>
      <c r="O8" s="15"/>
      <c r="P8" s="15"/>
      <c r="Q8" s="15"/>
      <c r="R8" s="15"/>
      <c r="S8" s="15"/>
      <c r="T8" s="15"/>
      <c r="U8" s="15"/>
      <c r="V8" s="15"/>
      <c r="W8" s="15"/>
      <c r="X8" s="15"/>
      <c r="Y8" s="15"/>
      <c r="Z8" s="15"/>
      <c r="AA8" s="15"/>
      <c r="AB8" s="15"/>
      <c r="AC8" s="15"/>
      <c r="AD8" s="15"/>
      <c r="AE8" s="15"/>
      <c r="AF8" s="15"/>
      <c r="AG8" s="15"/>
      <c r="AH8" s="15"/>
      <c r="AI8" s="15"/>
      <c r="AJ8" s="15"/>
      <c r="AK8" s="15"/>
      <c r="AL8" s="15"/>
      <c r="AM8" s="15"/>
    </row>
    <row r="9" spans="1:39" ht="30" customHeight="1" x14ac:dyDescent="0.15">
      <c r="A9" s="14" t="s">
        <v>117</v>
      </c>
      <c r="B9" s="15">
        <f>ROUND(SQRT(B6)*SQRT(B5),2)</f>
        <v>5.65</v>
      </c>
      <c r="C9" s="15">
        <f t="shared" ref="C9:J9" si="34">ROUND(SQRT(C6)*SQRT(C5),2)</f>
        <v>3.92</v>
      </c>
      <c r="D9" s="15">
        <f t="shared" si="34"/>
        <v>2.93</v>
      </c>
      <c r="E9" s="15">
        <f t="shared" si="34"/>
        <v>2.19</v>
      </c>
      <c r="F9" s="15">
        <f t="shared" si="34"/>
        <v>1.5</v>
      </c>
      <c r="G9" s="15">
        <f t="shared" si="34"/>
        <v>1.77</v>
      </c>
      <c r="H9" s="15">
        <f t="shared" si="34"/>
        <v>1.4</v>
      </c>
      <c r="I9" s="15">
        <f t="shared" si="34"/>
        <v>2.29</v>
      </c>
      <c r="J9" s="15">
        <f t="shared" si="34"/>
        <v>1.37</v>
      </c>
      <c r="L9" s="15"/>
      <c r="M9" s="15"/>
      <c r="N9" s="15"/>
      <c r="O9" s="15"/>
      <c r="P9" s="15"/>
      <c r="Q9" s="15"/>
      <c r="R9" s="15"/>
      <c r="S9" s="15"/>
      <c r="T9" s="15"/>
      <c r="U9" s="15"/>
      <c r="V9" s="15"/>
      <c r="W9" s="15"/>
      <c r="X9" s="15"/>
      <c r="Y9" s="15"/>
      <c r="Z9" s="15"/>
      <c r="AA9" s="15"/>
      <c r="AB9" s="15"/>
      <c r="AC9" s="15"/>
      <c r="AD9" s="15"/>
      <c r="AE9" s="15"/>
      <c r="AF9" s="15"/>
      <c r="AG9" s="15"/>
      <c r="AH9" s="15"/>
      <c r="AI9" s="15"/>
      <c r="AJ9" s="15"/>
      <c r="AK9" s="15"/>
      <c r="AL9" s="15"/>
      <c r="AM9" s="15"/>
    </row>
    <row r="10" spans="1:39" s="20" customFormat="1" ht="30" customHeight="1" x14ac:dyDescent="0.15">
      <c r="L10" s="15"/>
      <c r="M10" s="15"/>
      <c r="N10" s="15"/>
      <c r="O10" s="15"/>
      <c r="P10" s="15"/>
      <c r="Q10" s="15"/>
      <c r="R10" s="15"/>
      <c r="S10" s="15"/>
      <c r="T10" s="15"/>
      <c r="U10" s="15"/>
      <c r="V10" s="15"/>
      <c r="W10" s="15"/>
      <c r="X10" s="15"/>
      <c r="Y10" s="15"/>
      <c r="Z10" s="15"/>
      <c r="AA10" s="15"/>
      <c r="AB10" s="15"/>
      <c r="AC10" s="15"/>
      <c r="AD10" s="15"/>
      <c r="AE10" s="15"/>
      <c r="AF10" s="15"/>
      <c r="AG10" s="15"/>
      <c r="AH10" s="15"/>
      <c r="AI10" s="15"/>
      <c r="AJ10" s="15"/>
      <c r="AK10" s="15"/>
      <c r="AL10" s="15"/>
      <c r="AM10" s="15"/>
    </row>
    <row r="11" spans="1:39" s="20" customFormat="1" ht="30" customHeight="1" x14ac:dyDescent="0.15">
      <c r="L11" s="15"/>
      <c r="M11" s="15"/>
      <c r="N11" s="15"/>
      <c r="O11" s="15"/>
      <c r="P11" s="15"/>
      <c r="Q11" s="15"/>
      <c r="R11" s="15"/>
      <c r="S11" s="15"/>
      <c r="T11" s="15"/>
      <c r="U11" s="15"/>
      <c r="V11" s="15"/>
      <c r="W11" s="15"/>
      <c r="X11" s="15"/>
      <c r="Y11" s="15"/>
      <c r="Z11" s="15"/>
      <c r="AA11" s="15"/>
      <c r="AB11" s="15"/>
      <c r="AC11" s="15"/>
      <c r="AD11" s="15"/>
      <c r="AE11" s="15"/>
      <c r="AF11" s="15"/>
      <c r="AG11" s="15"/>
      <c r="AH11" s="15"/>
      <c r="AI11" s="15"/>
      <c r="AJ11" s="15"/>
      <c r="AK11" s="15"/>
      <c r="AL11" s="15"/>
      <c r="AM11" s="15"/>
    </row>
    <row r="12" spans="1:39" s="20" customFormat="1" ht="30" customHeight="1" x14ac:dyDescent="0.15">
      <c r="L12" s="15"/>
      <c r="M12" s="15"/>
      <c r="N12" s="15"/>
      <c r="O12" s="15"/>
      <c r="P12" s="15"/>
      <c r="Q12" s="15"/>
      <c r="R12" s="15"/>
      <c r="S12" s="15"/>
      <c r="T12" s="15"/>
      <c r="U12" s="15"/>
      <c r="V12" s="15"/>
      <c r="W12" s="15"/>
      <c r="X12" s="15"/>
      <c r="Y12" s="15"/>
      <c r="Z12" s="15"/>
      <c r="AA12" s="15"/>
      <c r="AB12" s="15"/>
      <c r="AC12" s="15"/>
      <c r="AD12" s="15"/>
      <c r="AE12" s="15"/>
      <c r="AF12" s="15"/>
      <c r="AG12" s="15"/>
      <c r="AH12" s="15"/>
      <c r="AI12" s="15"/>
      <c r="AJ12" s="15"/>
      <c r="AK12" s="15"/>
      <c r="AL12" s="15"/>
      <c r="AM12" s="15"/>
    </row>
    <row r="13" spans="1:39" x14ac:dyDescent="0.15">
      <c r="N13" s="37"/>
      <c r="O13" s="37"/>
      <c r="P13" s="37"/>
      <c r="Q13" s="37"/>
      <c r="R13" s="37"/>
      <c r="S13" s="37"/>
      <c r="T13" s="37"/>
    </row>
    <row r="14" spans="1:39" ht="17.25" customHeight="1" x14ac:dyDescent="0.15">
      <c r="A14" s="100" t="s">
        <v>125</v>
      </c>
      <c r="B14" s="100"/>
      <c r="C14" s="70"/>
      <c r="D14" s="70"/>
      <c r="F14" s="97" t="s">
        <v>126</v>
      </c>
      <c r="G14" s="97"/>
      <c r="H14" s="97"/>
      <c r="I14" s="97"/>
      <c r="J14" s="97"/>
      <c r="K14" s="97"/>
      <c r="L14" s="97"/>
    </row>
    <row r="15" spans="1:39" x14ac:dyDescent="0.15">
      <c r="A15" s="22" t="s">
        <v>1352</v>
      </c>
      <c r="B15" s="12">
        <v>1</v>
      </c>
      <c r="C15" s="17"/>
      <c r="D15" s="17"/>
      <c r="G15" s="11" t="s">
        <v>127</v>
      </c>
      <c r="H15" s="11" t="s">
        <v>116</v>
      </c>
      <c r="I15" s="11" t="s">
        <v>117</v>
      </c>
      <c r="J15" s="11" t="s">
        <v>128</v>
      </c>
      <c r="K15" s="11" t="s">
        <v>2701</v>
      </c>
      <c r="L15" s="89" t="s">
        <v>2700</v>
      </c>
    </row>
    <row r="16" spans="1:39" x14ac:dyDescent="0.15">
      <c r="A16" s="22" t="s">
        <v>1353</v>
      </c>
      <c r="B16" s="12">
        <v>0.7</v>
      </c>
      <c r="C16" s="17"/>
      <c r="D16" s="17"/>
      <c r="F16" s="1" t="s">
        <v>110</v>
      </c>
      <c r="G16" s="12">
        <v>1.5</v>
      </c>
      <c r="H16" s="15">
        <f t="shared" ref="H16:H21" si="35">ROUND(SQRT(G16),2)</f>
        <v>1.22</v>
      </c>
      <c r="I16" s="15">
        <f>ROUND(SQRT(G16),2)</f>
        <v>1.22</v>
      </c>
      <c r="J16" s="12">
        <f>ROUND(L16*K16,1)</f>
        <v>0.8</v>
      </c>
      <c r="K16" s="12">
        <v>1.1100000000000001</v>
      </c>
      <c r="L16" s="12">
        <v>0.7</v>
      </c>
    </row>
    <row r="17" spans="1:13" x14ac:dyDescent="0.15">
      <c r="A17" s="22" t="s">
        <v>1354</v>
      </c>
      <c r="B17" s="12">
        <v>0.5</v>
      </c>
      <c r="C17" s="17"/>
      <c r="D17" s="17"/>
      <c r="F17" s="1" t="s">
        <v>111</v>
      </c>
      <c r="G17" s="12">
        <v>1</v>
      </c>
      <c r="H17" s="15">
        <f t="shared" si="35"/>
        <v>1</v>
      </c>
      <c r="I17" s="15">
        <f t="shared" ref="I17:I18" si="36">ROUND(SQRT(G17),2)</f>
        <v>1</v>
      </c>
      <c r="J17" s="12">
        <f t="shared" ref="J17:J21" si="37">ROUND(L17*K17,1)</f>
        <v>1.4</v>
      </c>
      <c r="K17" s="12">
        <v>1.1100000000000001</v>
      </c>
      <c r="L17" s="12">
        <v>1.25</v>
      </c>
    </row>
    <row r="18" spans="1:13" x14ac:dyDescent="0.15">
      <c r="A18" s="28" t="s">
        <v>1629</v>
      </c>
      <c r="B18" s="12">
        <v>0</v>
      </c>
      <c r="F18" s="1" t="s">
        <v>112</v>
      </c>
      <c r="G18" s="12">
        <v>0.85</v>
      </c>
      <c r="H18" s="15">
        <f t="shared" si="35"/>
        <v>0.92</v>
      </c>
      <c r="I18" s="15">
        <f t="shared" si="36"/>
        <v>0.92</v>
      </c>
      <c r="J18" s="12">
        <f t="shared" si="37"/>
        <v>2</v>
      </c>
      <c r="K18" s="12">
        <v>1.1100000000000001</v>
      </c>
      <c r="L18" s="12">
        <v>1.8</v>
      </c>
    </row>
    <row r="19" spans="1:13" x14ac:dyDescent="0.15">
      <c r="F19" s="1" t="s">
        <v>113</v>
      </c>
      <c r="G19" s="12">
        <v>0.7</v>
      </c>
      <c r="H19" s="15">
        <f t="shared" si="35"/>
        <v>0.84</v>
      </c>
      <c r="I19" s="15">
        <f>ROUND(SQRT(G19),2)</f>
        <v>0.84</v>
      </c>
      <c r="J19" s="12">
        <f t="shared" si="37"/>
        <v>3.3</v>
      </c>
      <c r="K19" s="12">
        <v>1.1100000000000001</v>
      </c>
      <c r="L19" s="12">
        <v>3</v>
      </c>
    </row>
    <row r="20" spans="1:13" s="70" customFormat="1" x14ac:dyDescent="0.15">
      <c r="F20" s="86" t="s">
        <v>2659</v>
      </c>
      <c r="G20" s="12">
        <v>1.25</v>
      </c>
      <c r="H20" s="15">
        <f t="shared" si="35"/>
        <v>1.1200000000000001</v>
      </c>
      <c r="I20" s="15">
        <f>ROUND(SQRT(G20),2)</f>
        <v>1.1200000000000001</v>
      </c>
      <c r="J20" s="12">
        <f t="shared" si="37"/>
        <v>1.1000000000000001</v>
      </c>
      <c r="K20" s="12">
        <v>1.1100000000000001</v>
      </c>
      <c r="L20" s="12">
        <v>1</v>
      </c>
    </row>
    <row r="21" spans="1:13" s="70" customFormat="1" x14ac:dyDescent="0.15">
      <c r="F21" s="72" t="s">
        <v>2353</v>
      </c>
      <c r="G21" s="12">
        <v>1.75</v>
      </c>
      <c r="H21" s="15">
        <f t="shared" si="35"/>
        <v>1.32</v>
      </c>
      <c r="I21" s="15">
        <f>ROUND(SQRT(G21),2)</f>
        <v>1.32</v>
      </c>
      <c r="J21" s="12">
        <f t="shared" si="37"/>
        <v>0</v>
      </c>
      <c r="K21" s="12">
        <v>1.1100000000000001</v>
      </c>
      <c r="L21" s="12">
        <v>0</v>
      </c>
    </row>
    <row r="23" spans="1:13" ht="20.25" x14ac:dyDescent="0.15">
      <c r="A23" s="97" t="s">
        <v>124</v>
      </c>
      <c r="B23" s="97"/>
      <c r="C23" s="97"/>
      <c r="D23" s="97"/>
    </row>
    <row r="24" spans="1:13" x14ac:dyDescent="0.15">
      <c r="B24" s="11" t="s">
        <v>107</v>
      </c>
      <c r="C24" s="11" t="s">
        <v>108</v>
      </c>
      <c r="D24" s="11" t="s">
        <v>133</v>
      </c>
    </row>
    <row r="25" spans="1:13" x14ac:dyDescent="0.15">
      <c r="A25" s="14" t="s">
        <v>122</v>
      </c>
      <c r="B25" s="12">
        <v>1</v>
      </c>
      <c r="C25" s="12">
        <v>0.9</v>
      </c>
      <c r="D25" s="12">
        <v>0.7</v>
      </c>
    </row>
    <row r="26" spans="1:13" x14ac:dyDescent="0.15">
      <c r="A26" s="14" t="s">
        <v>123</v>
      </c>
      <c r="B26" s="12">
        <v>1</v>
      </c>
      <c r="C26" s="12">
        <v>1</v>
      </c>
      <c r="D26" s="12">
        <v>1.5</v>
      </c>
    </row>
    <row r="27" spans="1:13" ht="19.5" customHeight="1" x14ac:dyDescent="0.15"/>
    <row r="28" spans="1:13" ht="20.25" x14ac:dyDescent="0.15">
      <c r="A28" s="100" t="s">
        <v>75</v>
      </c>
      <c r="B28" s="100"/>
      <c r="C28" s="100"/>
      <c r="D28" s="100"/>
      <c r="E28" s="100"/>
      <c r="F28" s="100"/>
      <c r="K28" s="97" t="s">
        <v>98</v>
      </c>
      <c r="L28" s="97"/>
      <c r="M28" s="97"/>
    </row>
    <row r="29" spans="1:13" x14ac:dyDescent="0.15">
      <c r="B29" s="11" t="s">
        <v>78</v>
      </c>
      <c r="C29" s="11" t="s">
        <v>79</v>
      </c>
      <c r="D29" s="11" t="s">
        <v>80</v>
      </c>
      <c r="E29" s="11" t="s">
        <v>81</v>
      </c>
      <c r="F29" s="11" t="s">
        <v>82</v>
      </c>
      <c r="L29" s="11" t="s">
        <v>99</v>
      </c>
      <c r="M29" s="11" t="s">
        <v>100</v>
      </c>
    </row>
    <row r="30" spans="1:13" x14ac:dyDescent="0.15">
      <c r="B30" s="11"/>
      <c r="C30" s="11">
        <v>3</v>
      </c>
      <c r="D30" s="11">
        <v>6</v>
      </c>
      <c r="E30" s="11">
        <v>10</v>
      </c>
      <c r="F30" s="11">
        <v>15</v>
      </c>
      <c r="K30" s="14" t="s">
        <v>101</v>
      </c>
      <c r="L30" s="12">
        <v>1</v>
      </c>
      <c r="M30" s="12">
        <v>1</v>
      </c>
    </row>
    <row r="31" spans="1:13" x14ac:dyDescent="0.15">
      <c r="A31" s="1" t="s">
        <v>83</v>
      </c>
      <c r="B31" s="11"/>
      <c r="C31" s="11">
        <v>1.2</v>
      </c>
      <c r="D31" s="11">
        <v>1.45</v>
      </c>
      <c r="E31" s="11">
        <v>1.7</v>
      </c>
      <c r="F31" s="11">
        <v>2</v>
      </c>
      <c r="K31" s="14" t="s">
        <v>102</v>
      </c>
      <c r="L31" s="12">
        <v>1.25</v>
      </c>
      <c r="M31" s="12">
        <v>1.25</v>
      </c>
    </row>
    <row r="32" spans="1:13" x14ac:dyDescent="0.15">
      <c r="A32" s="1" t="s">
        <v>76</v>
      </c>
      <c r="B32" s="15">
        <v>1</v>
      </c>
      <c r="C32" s="15">
        <f>ROUND(1/C33/C30*C31,2)</f>
        <v>0.56999999999999995</v>
      </c>
      <c r="D32" s="15">
        <f t="shared" ref="D32:F32" si="38">ROUND(1/D33/D30*D31,2)</f>
        <v>0.4</v>
      </c>
      <c r="E32" s="15">
        <f t="shared" si="38"/>
        <v>0.34</v>
      </c>
      <c r="F32" s="15">
        <f t="shared" si="38"/>
        <v>0.33</v>
      </c>
      <c r="K32" s="14" t="s">
        <v>103</v>
      </c>
      <c r="L32" s="12">
        <v>1.5</v>
      </c>
      <c r="M32" s="12">
        <v>1.5</v>
      </c>
    </row>
    <row r="33" spans="1:30" x14ac:dyDescent="0.15">
      <c r="A33" s="1" t="s">
        <v>77</v>
      </c>
      <c r="B33" s="4">
        <v>1</v>
      </c>
      <c r="C33" s="4">
        <v>0.7</v>
      </c>
      <c r="D33" s="4">
        <v>0.6</v>
      </c>
      <c r="E33" s="4">
        <v>0.5</v>
      </c>
      <c r="F33" s="4">
        <v>0.4</v>
      </c>
      <c r="K33" s="1" t="s">
        <v>104</v>
      </c>
      <c r="L33" s="10">
        <v>2</v>
      </c>
      <c r="M33" s="10">
        <v>2</v>
      </c>
    </row>
    <row r="36" spans="1:30" ht="22.5" customHeight="1" x14ac:dyDescent="0.15">
      <c r="A36" s="97" t="s">
        <v>87</v>
      </c>
      <c r="B36" s="97"/>
      <c r="C36" s="97"/>
      <c r="D36" s="97"/>
      <c r="E36" s="97"/>
      <c r="F36" s="97"/>
      <c r="G36" s="97"/>
      <c r="H36" s="97"/>
      <c r="I36" s="97"/>
      <c r="J36" s="97"/>
      <c r="K36" s="97"/>
      <c r="L36" s="97"/>
      <c r="M36" s="97"/>
      <c r="N36" s="97"/>
      <c r="O36" s="97"/>
      <c r="P36" s="97"/>
      <c r="Q36" s="97"/>
      <c r="R36" s="97"/>
      <c r="S36" s="97"/>
      <c r="T36" s="97"/>
      <c r="U36" s="97"/>
      <c r="V36" s="97"/>
      <c r="W36" s="97"/>
      <c r="X36" s="97"/>
      <c r="Y36" s="97"/>
      <c r="Z36" s="97"/>
      <c r="AA36" s="97"/>
      <c r="AB36" s="94"/>
      <c r="AC36" s="94"/>
      <c r="AD36" s="94"/>
    </row>
    <row r="37" spans="1:30" x14ac:dyDescent="0.15">
      <c r="A37" s="1" t="s">
        <v>88</v>
      </c>
      <c r="B37" s="10">
        <v>0.5</v>
      </c>
      <c r="C37" s="10">
        <v>0.6</v>
      </c>
      <c r="D37" s="10">
        <v>0.7</v>
      </c>
      <c r="E37" s="10">
        <v>0.8</v>
      </c>
      <c r="F37" s="10">
        <v>0.9</v>
      </c>
      <c r="G37" s="10">
        <v>1</v>
      </c>
      <c r="H37" s="10">
        <v>1.1000000000000001</v>
      </c>
      <c r="I37" s="10">
        <v>1.2</v>
      </c>
      <c r="J37" s="10">
        <v>1.3</v>
      </c>
      <c r="K37" s="10">
        <v>1.4</v>
      </c>
      <c r="L37" s="10">
        <v>1.5</v>
      </c>
      <c r="M37" s="10">
        <v>1.6</v>
      </c>
      <c r="N37" s="10">
        <v>1.7</v>
      </c>
      <c r="O37" s="10">
        <v>1.8</v>
      </c>
      <c r="P37" s="10">
        <v>1.9</v>
      </c>
      <c r="Q37" s="10">
        <v>2</v>
      </c>
      <c r="R37" s="10">
        <v>2.1</v>
      </c>
      <c r="S37" s="10">
        <v>2.2000000000000002</v>
      </c>
      <c r="T37" s="10">
        <v>2.2999999999999998</v>
      </c>
      <c r="U37" s="10">
        <v>2.4</v>
      </c>
      <c r="V37" s="10">
        <v>2.5</v>
      </c>
      <c r="W37" s="10">
        <v>2.6</v>
      </c>
      <c r="X37" s="10">
        <v>2.7</v>
      </c>
      <c r="Y37" s="10">
        <v>2.8</v>
      </c>
      <c r="Z37" s="10">
        <v>2.9</v>
      </c>
      <c r="AA37" s="10">
        <v>3</v>
      </c>
      <c r="AB37" s="12"/>
      <c r="AC37" s="12"/>
      <c r="AD37" s="12"/>
    </row>
    <row r="38" spans="1:30" x14ac:dyDescent="0.15">
      <c r="A38" s="1" t="s">
        <v>89</v>
      </c>
      <c r="B38" s="10">
        <v>0.8</v>
      </c>
      <c r="C38" s="10">
        <v>0.84</v>
      </c>
      <c r="D38" s="10">
        <v>0.88</v>
      </c>
      <c r="E38" s="10">
        <v>0.92</v>
      </c>
      <c r="F38" s="10">
        <v>0.96</v>
      </c>
      <c r="G38" s="10">
        <v>1</v>
      </c>
      <c r="H38" s="10">
        <v>1.04</v>
      </c>
      <c r="I38" s="10">
        <v>1.08</v>
      </c>
      <c r="J38" s="10">
        <v>1.1200000000000001</v>
      </c>
      <c r="K38" s="10">
        <v>1.1599999999999999</v>
      </c>
      <c r="L38" s="10">
        <v>1.2</v>
      </c>
      <c r="M38" s="10">
        <v>1.24</v>
      </c>
      <c r="N38" s="10">
        <v>1.28</v>
      </c>
      <c r="O38" s="10">
        <v>1.32</v>
      </c>
      <c r="P38" s="10">
        <v>1.36</v>
      </c>
      <c r="Q38" s="10">
        <v>1.4</v>
      </c>
      <c r="R38" s="10">
        <v>1.44</v>
      </c>
      <c r="S38" s="10">
        <v>1.48</v>
      </c>
      <c r="T38" s="10">
        <v>1.52</v>
      </c>
      <c r="U38" s="10">
        <v>1.56</v>
      </c>
      <c r="V38" s="10">
        <v>1.6</v>
      </c>
      <c r="W38" s="10">
        <v>1.64</v>
      </c>
      <c r="X38" s="10">
        <v>1.68</v>
      </c>
      <c r="Y38" s="10">
        <v>1.72</v>
      </c>
      <c r="Z38" s="10">
        <v>1.76</v>
      </c>
      <c r="AA38" s="10">
        <v>1.8</v>
      </c>
      <c r="AB38" s="12"/>
      <c r="AC38" s="12"/>
      <c r="AD38" s="12"/>
    </row>
    <row r="39" spans="1:30" x14ac:dyDescent="0.15">
      <c r="A39" s="14" t="s">
        <v>136</v>
      </c>
      <c r="B39" s="15">
        <f>B37*B38</f>
        <v>0.4</v>
      </c>
      <c r="C39" s="15">
        <f t="shared" ref="C39:AA39" si="39">C37*C38</f>
        <v>0.504</v>
      </c>
      <c r="D39" s="15">
        <f t="shared" si="39"/>
        <v>0.61599999999999999</v>
      </c>
      <c r="E39" s="15">
        <f t="shared" si="39"/>
        <v>0.7360000000000001</v>
      </c>
      <c r="F39" s="15">
        <f t="shared" si="39"/>
        <v>0.86399999999999999</v>
      </c>
      <c r="G39" s="15">
        <f t="shared" si="39"/>
        <v>1</v>
      </c>
      <c r="H39" s="15">
        <f t="shared" si="39"/>
        <v>1.1440000000000001</v>
      </c>
      <c r="I39" s="15">
        <f t="shared" si="39"/>
        <v>1.296</v>
      </c>
      <c r="J39" s="15">
        <f t="shared" si="39"/>
        <v>1.4560000000000002</v>
      </c>
      <c r="K39" s="15">
        <f t="shared" si="39"/>
        <v>1.6239999999999999</v>
      </c>
      <c r="L39" s="15">
        <f t="shared" si="39"/>
        <v>1.7999999999999998</v>
      </c>
      <c r="M39" s="15">
        <f t="shared" si="39"/>
        <v>1.984</v>
      </c>
      <c r="N39" s="15">
        <f t="shared" si="39"/>
        <v>2.1760000000000002</v>
      </c>
      <c r="O39" s="15">
        <f t="shared" si="39"/>
        <v>2.3760000000000003</v>
      </c>
      <c r="P39" s="15">
        <f t="shared" si="39"/>
        <v>2.5840000000000001</v>
      </c>
      <c r="Q39" s="15">
        <f t="shared" si="39"/>
        <v>2.8</v>
      </c>
      <c r="R39" s="15">
        <f t="shared" si="39"/>
        <v>3.024</v>
      </c>
      <c r="S39" s="15">
        <f t="shared" si="39"/>
        <v>3.2560000000000002</v>
      </c>
      <c r="T39" s="15">
        <f t="shared" si="39"/>
        <v>3.4959999999999996</v>
      </c>
      <c r="U39" s="15">
        <f t="shared" si="39"/>
        <v>3.7439999999999998</v>
      </c>
      <c r="V39" s="15">
        <f t="shared" si="39"/>
        <v>4</v>
      </c>
      <c r="W39" s="15">
        <f t="shared" si="39"/>
        <v>4.2640000000000002</v>
      </c>
      <c r="X39" s="15">
        <f t="shared" si="39"/>
        <v>4.5360000000000005</v>
      </c>
      <c r="Y39" s="15">
        <f t="shared" si="39"/>
        <v>4.8159999999999998</v>
      </c>
      <c r="Z39" s="15">
        <f t="shared" si="39"/>
        <v>5.1040000000000001</v>
      </c>
      <c r="AA39" s="15">
        <f t="shared" si="39"/>
        <v>5.4</v>
      </c>
      <c r="AB39" s="15"/>
      <c r="AC39" s="15"/>
      <c r="AD39" s="15"/>
    </row>
    <row r="41" spans="1:30" ht="20.25" x14ac:dyDescent="0.15">
      <c r="A41" s="97" t="s">
        <v>73</v>
      </c>
      <c r="B41" s="97"/>
      <c r="C41" s="97"/>
      <c r="D41" s="97"/>
      <c r="E41" s="97"/>
      <c r="F41" s="97"/>
      <c r="G41" s="97"/>
      <c r="H41" s="97"/>
      <c r="I41" s="97"/>
      <c r="J41" s="97"/>
      <c r="K41" s="97"/>
      <c r="L41" s="97"/>
      <c r="M41" s="97"/>
      <c r="N41" s="97"/>
      <c r="O41" s="97"/>
      <c r="P41" s="97"/>
      <c r="Q41" s="97"/>
      <c r="R41" s="97"/>
      <c r="S41" s="97"/>
      <c r="T41" s="97"/>
      <c r="U41" s="97"/>
      <c r="V41" s="97"/>
    </row>
    <row r="42" spans="1:30" x14ac:dyDescent="0.15">
      <c r="A42" s="1" t="s">
        <v>71</v>
      </c>
      <c r="B42" s="4">
        <v>1.25</v>
      </c>
    </row>
    <row r="43" spans="1:30" x14ac:dyDescent="0.15">
      <c r="A43" s="98" t="s">
        <v>66</v>
      </c>
      <c r="B43" s="98"/>
      <c r="C43" s="98"/>
      <c r="D43" s="98"/>
      <c r="E43" s="98" t="s">
        <v>72</v>
      </c>
      <c r="F43" s="98"/>
      <c r="G43" s="98"/>
      <c r="H43" s="98"/>
      <c r="I43" s="98"/>
      <c r="J43" s="98"/>
      <c r="K43" s="98"/>
      <c r="L43" s="98"/>
      <c r="M43" s="98"/>
      <c r="N43" s="99" t="s">
        <v>121</v>
      </c>
      <c r="O43" s="99"/>
      <c r="P43" s="99"/>
      <c r="Q43" s="99"/>
      <c r="R43" s="99"/>
      <c r="S43" s="99"/>
      <c r="T43" s="99"/>
      <c r="U43" s="99"/>
      <c r="V43" s="99"/>
    </row>
    <row r="44" spans="1:30" x14ac:dyDescent="0.15">
      <c r="A44" s="11" t="s">
        <v>67</v>
      </c>
      <c r="B44" s="11" t="s">
        <v>74</v>
      </c>
      <c r="C44" s="11" t="s">
        <v>105</v>
      </c>
      <c r="D44" s="11" t="s">
        <v>68</v>
      </c>
      <c r="E44" s="11" t="s">
        <v>18</v>
      </c>
      <c r="F44" s="11" t="s">
        <v>106</v>
      </c>
      <c r="G44" s="11" t="s">
        <v>91</v>
      </c>
      <c r="H44" s="11" t="s">
        <v>109</v>
      </c>
      <c r="I44" s="11" t="s">
        <v>1324</v>
      </c>
      <c r="J44" s="11" t="s">
        <v>114</v>
      </c>
      <c r="K44" s="11" t="s">
        <v>115</v>
      </c>
      <c r="L44" s="11" t="s">
        <v>1341</v>
      </c>
      <c r="M44" s="11" t="s">
        <v>132</v>
      </c>
      <c r="N44" s="11" t="s">
        <v>18</v>
      </c>
      <c r="O44" s="11" t="s">
        <v>106</v>
      </c>
      <c r="P44" s="11" t="s">
        <v>91</v>
      </c>
      <c r="Q44" s="11" t="s">
        <v>109</v>
      </c>
      <c r="R44" s="11" t="s">
        <v>1324</v>
      </c>
      <c r="S44" s="11" t="s">
        <v>114</v>
      </c>
      <c r="T44" s="11" t="s">
        <v>115</v>
      </c>
      <c r="U44" s="11" t="s">
        <v>1341</v>
      </c>
      <c r="V44" s="11" t="s">
        <v>132</v>
      </c>
    </row>
    <row r="45" spans="1:30" x14ac:dyDescent="0.15">
      <c r="A45" s="4">
        <v>1</v>
      </c>
      <c r="B45" s="12">
        <v>0.7</v>
      </c>
      <c r="C45" s="12">
        <v>1</v>
      </c>
      <c r="D45" s="15">
        <f>2.5^(LOG(A45,2))*2000*C45</f>
        <v>2000</v>
      </c>
      <c r="E45" s="15">
        <f>ROUND(SQRT($D45)/SQRT($B45)*B$8,2)</f>
        <v>17.64</v>
      </c>
      <c r="F45" s="15">
        <f t="shared" ref="F45:I45" si="40">ROUND(SQRT($D45)/SQRT($B45)*C$8,2)</f>
        <v>29.93</v>
      </c>
      <c r="G45" s="15">
        <f t="shared" si="40"/>
        <v>39.020000000000003</v>
      </c>
      <c r="H45" s="15">
        <f t="shared" si="40"/>
        <v>29.4</v>
      </c>
      <c r="I45" s="15">
        <f t="shared" si="40"/>
        <v>26.73</v>
      </c>
      <c r="J45" s="15">
        <f>ROUND(SQRT($D45)/SQRT($B45)*G$8,2)</f>
        <v>27.26</v>
      </c>
      <c r="K45" s="15">
        <f>ROUND(SQRT($D45)/SQRT($B45)*H$8,2)</f>
        <v>26.73</v>
      </c>
      <c r="L45" s="15">
        <f>ROUND(SQRT($D45)/SQRT($B45)*I$8,2)</f>
        <v>24.59</v>
      </c>
      <c r="M45" s="15">
        <f>ROUND(SQRT($D45)/SQRT($B45)*J$8,2)</f>
        <v>27.26</v>
      </c>
      <c r="N45" s="15">
        <f>ROUND(SQRT($D45)*SQRT($B45)*B$9,2)</f>
        <v>211.4</v>
      </c>
      <c r="O45" s="15">
        <f t="shared" ref="O45:V54" si="41">ROUND(SQRT($D45)*SQRT($B45)*C$9,2)</f>
        <v>146.66999999999999</v>
      </c>
      <c r="P45" s="15">
        <f t="shared" si="41"/>
        <v>109.63</v>
      </c>
      <c r="Q45" s="15">
        <f t="shared" si="41"/>
        <v>81.94</v>
      </c>
      <c r="R45" s="15">
        <f t="shared" si="41"/>
        <v>56.12</v>
      </c>
      <c r="S45" s="15">
        <f t="shared" si="41"/>
        <v>66.23</v>
      </c>
      <c r="T45" s="15">
        <f t="shared" si="41"/>
        <v>52.38</v>
      </c>
      <c r="U45" s="15">
        <f t="shared" si="41"/>
        <v>85.68</v>
      </c>
      <c r="V45" s="15">
        <f t="shared" si="41"/>
        <v>51.26</v>
      </c>
    </row>
    <row r="46" spans="1:30" x14ac:dyDescent="0.15">
      <c r="A46" s="4">
        <v>2</v>
      </c>
      <c r="B46" s="12">
        <v>0.85</v>
      </c>
      <c r="C46" s="12">
        <v>1</v>
      </c>
      <c r="D46" s="15">
        <f t="shared" ref="D46:D54" si="42">2.5^(LOG(A46,2))*2000*C46</f>
        <v>5000</v>
      </c>
      <c r="E46" s="15">
        <f t="shared" ref="E46:E54" si="43">ROUND(SQRT($D46)/SQRT($B46)*B$8,2)</f>
        <v>25.31</v>
      </c>
      <c r="F46" s="15">
        <f t="shared" ref="F46:F54" si="44">ROUND(SQRT($D46)/SQRT($B46)*C$8,2)</f>
        <v>42.95</v>
      </c>
      <c r="G46" s="15">
        <f t="shared" ref="G46:G54" si="45">ROUND(SQRT($D46)/SQRT($B46)*D$8,2)</f>
        <v>55.99</v>
      </c>
      <c r="H46" s="15">
        <f t="shared" ref="H46:H54" si="46">ROUND(SQRT($D46)/SQRT($B46)*E$8,2)</f>
        <v>42.18</v>
      </c>
      <c r="I46" s="15">
        <f t="shared" ref="I46:I54" si="47">ROUND(SQRT($D46)/SQRT($B46)*F$8,2)</f>
        <v>38.35</v>
      </c>
      <c r="J46" s="15">
        <f t="shared" ref="J46:J54" si="48">ROUND(SQRT($D46)/SQRT($B46)*G$8,2)</f>
        <v>39.119999999999997</v>
      </c>
      <c r="K46" s="15">
        <f t="shared" ref="K46:K54" si="49">ROUND(SQRT($D46)/SQRT($B46)*H$8,2)</f>
        <v>38.35</v>
      </c>
      <c r="L46" s="15">
        <f t="shared" ref="L46:L54" si="50">ROUND(SQRT($D46)/SQRT($B46)*I$8,2)</f>
        <v>35.28</v>
      </c>
      <c r="M46" s="15">
        <f t="shared" ref="M46:M54" si="51">ROUND(SQRT($D46)/SQRT($B46)*J$8,2)</f>
        <v>39.119999999999997</v>
      </c>
      <c r="N46" s="15">
        <f t="shared" ref="N46:N54" si="52">ROUND(SQRT($D46)*SQRT($B46)*B$9,2)</f>
        <v>368.33</v>
      </c>
      <c r="O46" s="15">
        <f t="shared" ref="O46:O54" si="53">ROUND(SQRT($D46)*SQRT($B46)*C$9,2)</f>
        <v>255.55</v>
      </c>
      <c r="P46" s="15">
        <f t="shared" ref="P46:P54" si="54">ROUND(SQRT($D46)*SQRT($B46)*D$9,2)</f>
        <v>191.01</v>
      </c>
      <c r="Q46" s="15">
        <f t="shared" ref="Q46:Q54" si="55">ROUND(SQRT($D46)*SQRT($B46)*E$9,2)</f>
        <v>142.77000000000001</v>
      </c>
      <c r="R46" s="15">
        <f t="shared" ref="R46:R54" si="56">ROUND(SQRT($D46)*SQRT($B46)*F$9,2)</f>
        <v>97.79</v>
      </c>
      <c r="S46" s="15">
        <f t="shared" ref="S46:S54" si="57">ROUND(SQRT($D46)*SQRT($B46)*G$9,2)</f>
        <v>115.39</v>
      </c>
      <c r="T46" s="15">
        <f t="shared" ref="T46:T54" si="58">ROUND(SQRT($D46)*SQRT($B46)*H$9,2)</f>
        <v>91.27</v>
      </c>
      <c r="U46" s="15">
        <f t="shared" ref="U46:U54" si="59">ROUND(SQRT($D46)*SQRT($B46)*I$9,2)</f>
        <v>149.29</v>
      </c>
      <c r="V46" s="15">
        <f t="shared" si="41"/>
        <v>89.31</v>
      </c>
    </row>
    <row r="47" spans="1:30" x14ac:dyDescent="0.15">
      <c r="A47" s="4">
        <v>3</v>
      </c>
      <c r="B47" s="12">
        <v>1</v>
      </c>
      <c r="C47" s="12">
        <v>1</v>
      </c>
      <c r="D47" s="15">
        <f t="shared" si="42"/>
        <v>8545.7461287486894</v>
      </c>
      <c r="E47" s="15">
        <f t="shared" si="43"/>
        <v>30.51</v>
      </c>
      <c r="F47" s="15">
        <f t="shared" si="44"/>
        <v>51.77</v>
      </c>
      <c r="G47" s="15">
        <f t="shared" si="45"/>
        <v>67.48</v>
      </c>
      <c r="H47" s="15">
        <f t="shared" si="46"/>
        <v>50.84</v>
      </c>
      <c r="I47" s="15">
        <f t="shared" si="47"/>
        <v>46.22</v>
      </c>
      <c r="J47" s="15">
        <f t="shared" si="48"/>
        <v>47.15</v>
      </c>
      <c r="K47" s="15">
        <f t="shared" si="49"/>
        <v>46.22</v>
      </c>
      <c r="L47" s="15">
        <f t="shared" si="50"/>
        <v>42.52</v>
      </c>
      <c r="M47" s="15">
        <f t="shared" si="51"/>
        <v>47.15</v>
      </c>
      <c r="N47" s="15">
        <f t="shared" si="52"/>
        <v>522.29999999999995</v>
      </c>
      <c r="O47" s="15">
        <f t="shared" si="53"/>
        <v>362.38</v>
      </c>
      <c r="P47" s="15">
        <f t="shared" si="54"/>
        <v>270.86</v>
      </c>
      <c r="Q47" s="15">
        <f t="shared" si="55"/>
        <v>202.45</v>
      </c>
      <c r="R47" s="15">
        <f t="shared" si="56"/>
        <v>138.66</v>
      </c>
      <c r="S47" s="15">
        <f t="shared" si="57"/>
        <v>163.62</v>
      </c>
      <c r="T47" s="15">
        <f t="shared" si="58"/>
        <v>129.41999999999999</v>
      </c>
      <c r="U47" s="15">
        <f t="shared" si="59"/>
        <v>211.69</v>
      </c>
      <c r="V47" s="15">
        <f t="shared" si="41"/>
        <v>126.65</v>
      </c>
    </row>
    <row r="48" spans="1:30" x14ac:dyDescent="0.15">
      <c r="A48" s="4">
        <v>4</v>
      </c>
      <c r="B48" s="12">
        <v>1.1499999999999999</v>
      </c>
      <c r="C48" s="12">
        <v>1</v>
      </c>
      <c r="D48" s="15">
        <f t="shared" si="42"/>
        <v>12500</v>
      </c>
      <c r="E48" s="15">
        <f t="shared" si="43"/>
        <v>34.4</v>
      </c>
      <c r="F48" s="15">
        <f t="shared" si="44"/>
        <v>58.38</v>
      </c>
      <c r="G48" s="15">
        <f t="shared" si="45"/>
        <v>76.11</v>
      </c>
      <c r="H48" s="15">
        <f t="shared" si="46"/>
        <v>57.34</v>
      </c>
      <c r="I48" s="15">
        <f t="shared" si="47"/>
        <v>52.13</v>
      </c>
      <c r="J48" s="15">
        <f t="shared" si="48"/>
        <v>53.17</v>
      </c>
      <c r="K48" s="15">
        <f t="shared" si="49"/>
        <v>52.13</v>
      </c>
      <c r="L48" s="15">
        <f t="shared" si="50"/>
        <v>47.96</v>
      </c>
      <c r="M48" s="15">
        <f t="shared" si="51"/>
        <v>53.17</v>
      </c>
      <c r="N48" s="15">
        <f t="shared" si="52"/>
        <v>677.41</v>
      </c>
      <c r="O48" s="15">
        <f t="shared" si="53"/>
        <v>469.99</v>
      </c>
      <c r="P48" s="15">
        <f t="shared" si="54"/>
        <v>351.29</v>
      </c>
      <c r="Q48" s="15">
        <f t="shared" si="55"/>
        <v>262.57</v>
      </c>
      <c r="R48" s="15">
        <f t="shared" si="56"/>
        <v>179.84</v>
      </c>
      <c r="S48" s="15">
        <f t="shared" si="57"/>
        <v>212.22</v>
      </c>
      <c r="T48" s="15">
        <f t="shared" si="58"/>
        <v>167.85</v>
      </c>
      <c r="U48" s="15">
        <f t="shared" si="59"/>
        <v>274.56</v>
      </c>
      <c r="V48" s="15">
        <f t="shared" si="41"/>
        <v>164.26</v>
      </c>
    </row>
    <row r="49" spans="1:22" x14ac:dyDescent="0.15">
      <c r="A49" s="4">
        <v>5</v>
      </c>
      <c r="B49" s="12">
        <v>1.3</v>
      </c>
      <c r="C49" s="12">
        <v>1</v>
      </c>
      <c r="D49" s="15">
        <f t="shared" si="42"/>
        <v>16788.739166933308</v>
      </c>
      <c r="E49" s="15">
        <f t="shared" si="43"/>
        <v>37.5</v>
      </c>
      <c r="F49" s="15">
        <f t="shared" si="44"/>
        <v>63.64</v>
      </c>
      <c r="G49" s="15">
        <f t="shared" si="45"/>
        <v>82.96</v>
      </c>
      <c r="H49" s="15">
        <f t="shared" si="46"/>
        <v>62.5</v>
      </c>
      <c r="I49" s="15">
        <f t="shared" si="47"/>
        <v>56.82</v>
      </c>
      <c r="J49" s="15">
        <f t="shared" si="48"/>
        <v>57.96</v>
      </c>
      <c r="K49" s="15">
        <f t="shared" si="49"/>
        <v>56.82</v>
      </c>
      <c r="L49" s="15">
        <f t="shared" si="50"/>
        <v>52.28</v>
      </c>
      <c r="M49" s="15">
        <f t="shared" si="51"/>
        <v>57.96</v>
      </c>
      <c r="N49" s="15">
        <f t="shared" si="52"/>
        <v>834.7</v>
      </c>
      <c r="O49" s="15">
        <f t="shared" si="53"/>
        <v>579.12</v>
      </c>
      <c r="P49" s="15">
        <f t="shared" si="54"/>
        <v>432.86</v>
      </c>
      <c r="Q49" s="15">
        <f t="shared" si="55"/>
        <v>323.54000000000002</v>
      </c>
      <c r="R49" s="15">
        <f t="shared" si="56"/>
        <v>221.6</v>
      </c>
      <c r="S49" s="15">
        <f t="shared" si="57"/>
        <v>261.49</v>
      </c>
      <c r="T49" s="15">
        <f t="shared" si="58"/>
        <v>206.83</v>
      </c>
      <c r="U49" s="15">
        <f t="shared" si="59"/>
        <v>338.31</v>
      </c>
      <c r="V49" s="15">
        <f t="shared" si="41"/>
        <v>202.4</v>
      </c>
    </row>
    <row r="50" spans="1:22" x14ac:dyDescent="0.15">
      <c r="A50" s="4">
        <v>6</v>
      </c>
      <c r="B50" s="12">
        <v>1.45</v>
      </c>
      <c r="C50" s="12">
        <v>1</v>
      </c>
      <c r="D50" s="15">
        <f t="shared" si="42"/>
        <v>21364.365321871715</v>
      </c>
      <c r="E50" s="15">
        <f t="shared" si="43"/>
        <v>40.06</v>
      </c>
      <c r="F50" s="15">
        <f t="shared" si="44"/>
        <v>67.97</v>
      </c>
      <c r="G50" s="15">
        <f t="shared" si="45"/>
        <v>88.61</v>
      </c>
      <c r="H50" s="15">
        <f t="shared" si="46"/>
        <v>66.760000000000005</v>
      </c>
      <c r="I50" s="15">
        <f t="shared" si="47"/>
        <v>60.69</v>
      </c>
      <c r="J50" s="15">
        <f t="shared" si="48"/>
        <v>61.91</v>
      </c>
      <c r="K50" s="15">
        <f t="shared" si="49"/>
        <v>60.69</v>
      </c>
      <c r="L50" s="15">
        <f t="shared" si="50"/>
        <v>55.84</v>
      </c>
      <c r="M50" s="15">
        <f t="shared" si="51"/>
        <v>61.91</v>
      </c>
      <c r="N50" s="15">
        <f t="shared" si="52"/>
        <v>994.44</v>
      </c>
      <c r="O50" s="15">
        <f t="shared" si="53"/>
        <v>689.95</v>
      </c>
      <c r="P50" s="15">
        <f t="shared" si="54"/>
        <v>515.70000000000005</v>
      </c>
      <c r="Q50" s="15">
        <f t="shared" si="55"/>
        <v>385.45</v>
      </c>
      <c r="R50" s="15">
        <f t="shared" si="56"/>
        <v>264.01</v>
      </c>
      <c r="S50" s="15">
        <f t="shared" si="57"/>
        <v>311.52999999999997</v>
      </c>
      <c r="T50" s="15">
        <f t="shared" si="58"/>
        <v>246.41</v>
      </c>
      <c r="U50" s="15">
        <f t="shared" si="59"/>
        <v>403.06</v>
      </c>
      <c r="V50" s="15">
        <f t="shared" si="41"/>
        <v>241.13</v>
      </c>
    </row>
    <row r="51" spans="1:22" x14ac:dyDescent="0.15">
      <c r="A51" s="4">
        <v>7</v>
      </c>
      <c r="B51" s="12">
        <v>1.6</v>
      </c>
      <c r="C51" s="12">
        <v>1</v>
      </c>
      <c r="D51" s="15">
        <f t="shared" si="42"/>
        <v>26193.216806273667</v>
      </c>
      <c r="E51" s="15">
        <f t="shared" si="43"/>
        <v>42.22</v>
      </c>
      <c r="F51" s="15">
        <f t="shared" si="44"/>
        <v>71.650000000000006</v>
      </c>
      <c r="G51" s="15">
        <f t="shared" si="45"/>
        <v>93.4</v>
      </c>
      <c r="H51" s="15">
        <f t="shared" si="46"/>
        <v>70.37</v>
      </c>
      <c r="I51" s="15">
        <f t="shared" si="47"/>
        <v>63.97</v>
      </c>
      <c r="J51" s="15">
        <f t="shared" si="48"/>
        <v>65.25</v>
      </c>
      <c r="K51" s="15">
        <f t="shared" si="49"/>
        <v>63.97</v>
      </c>
      <c r="L51" s="15">
        <f t="shared" si="50"/>
        <v>58.86</v>
      </c>
      <c r="M51" s="15">
        <f t="shared" si="51"/>
        <v>65.25</v>
      </c>
      <c r="N51" s="15">
        <f t="shared" si="52"/>
        <v>1156.6500000000001</v>
      </c>
      <c r="O51" s="15">
        <f t="shared" si="53"/>
        <v>802.49</v>
      </c>
      <c r="P51" s="15">
        <f t="shared" si="54"/>
        <v>599.82000000000005</v>
      </c>
      <c r="Q51" s="15">
        <f t="shared" si="55"/>
        <v>448.33</v>
      </c>
      <c r="R51" s="15">
        <f t="shared" si="56"/>
        <v>307.08</v>
      </c>
      <c r="S51" s="15">
        <f t="shared" si="57"/>
        <v>362.35</v>
      </c>
      <c r="T51" s="15">
        <f t="shared" si="58"/>
        <v>286.60000000000002</v>
      </c>
      <c r="U51" s="15">
        <f t="shared" si="59"/>
        <v>468.8</v>
      </c>
      <c r="V51" s="15">
        <f t="shared" si="41"/>
        <v>280.45999999999998</v>
      </c>
    </row>
    <row r="52" spans="1:22" x14ac:dyDescent="0.15">
      <c r="A52" s="4">
        <v>8</v>
      </c>
      <c r="B52" s="12">
        <v>1.75</v>
      </c>
      <c r="C52" s="12">
        <v>1</v>
      </c>
      <c r="D52" s="15">
        <f t="shared" si="42"/>
        <v>31250</v>
      </c>
      <c r="E52" s="15">
        <f t="shared" si="43"/>
        <v>44.1</v>
      </c>
      <c r="F52" s="15">
        <f t="shared" si="44"/>
        <v>74.83</v>
      </c>
      <c r="G52" s="15">
        <f t="shared" si="45"/>
        <v>97.55</v>
      </c>
      <c r="H52" s="15">
        <f t="shared" si="46"/>
        <v>73.5</v>
      </c>
      <c r="I52" s="15">
        <f t="shared" si="47"/>
        <v>66.819999999999993</v>
      </c>
      <c r="J52" s="15">
        <f t="shared" si="48"/>
        <v>68.150000000000006</v>
      </c>
      <c r="K52" s="15">
        <f t="shared" si="49"/>
        <v>66.819999999999993</v>
      </c>
      <c r="L52" s="15">
        <f t="shared" si="50"/>
        <v>61.47</v>
      </c>
      <c r="M52" s="15">
        <f t="shared" si="51"/>
        <v>68.150000000000006</v>
      </c>
      <c r="N52" s="15">
        <f t="shared" si="52"/>
        <v>1321.27</v>
      </c>
      <c r="O52" s="15">
        <f t="shared" si="53"/>
        <v>916.71</v>
      </c>
      <c r="P52" s="15">
        <f t="shared" si="54"/>
        <v>685.19</v>
      </c>
      <c r="Q52" s="15">
        <f t="shared" si="55"/>
        <v>512.14</v>
      </c>
      <c r="R52" s="15">
        <f t="shared" si="56"/>
        <v>350.78</v>
      </c>
      <c r="S52" s="15">
        <f t="shared" si="57"/>
        <v>413.92</v>
      </c>
      <c r="T52" s="15">
        <f t="shared" si="58"/>
        <v>327.39999999999998</v>
      </c>
      <c r="U52" s="15">
        <f t="shared" si="59"/>
        <v>535.52</v>
      </c>
      <c r="V52" s="15">
        <f t="shared" si="41"/>
        <v>320.38</v>
      </c>
    </row>
    <row r="53" spans="1:22" x14ac:dyDescent="0.15">
      <c r="A53" s="4">
        <v>9</v>
      </c>
      <c r="B53" s="12">
        <v>2</v>
      </c>
      <c r="C53" s="12">
        <v>1</v>
      </c>
      <c r="D53" s="15">
        <f t="shared" si="42"/>
        <v>36514.888448511614</v>
      </c>
      <c r="E53" s="15">
        <f t="shared" si="43"/>
        <v>44.59</v>
      </c>
      <c r="F53" s="15">
        <f t="shared" si="44"/>
        <v>75.67</v>
      </c>
      <c r="G53" s="15">
        <f t="shared" si="45"/>
        <v>98.64</v>
      </c>
      <c r="H53" s="15">
        <f t="shared" si="46"/>
        <v>74.319999999999993</v>
      </c>
      <c r="I53" s="15">
        <f t="shared" si="47"/>
        <v>67.56</v>
      </c>
      <c r="J53" s="15">
        <f t="shared" si="48"/>
        <v>68.91</v>
      </c>
      <c r="K53" s="15">
        <f t="shared" si="49"/>
        <v>67.56</v>
      </c>
      <c r="L53" s="15">
        <f t="shared" si="50"/>
        <v>62.16</v>
      </c>
      <c r="M53" s="15">
        <f t="shared" si="51"/>
        <v>68.91</v>
      </c>
      <c r="N53" s="15">
        <f t="shared" si="52"/>
        <v>1526.86</v>
      </c>
      <c r="O53" s="15">
        <f t="shared" si="53"/>
        <v>1059.3399999999999</v>
      </c>
      <c r="P53" s="15">
        <f t="shared" si="54"/>
        <v>791.8</v>
      </c>
      <c r="Q53" s="15">
        <f t="shared" si="55"/>
        <v>591.83000000000004</v>
      </c>
      <c r="R53" s="15">
        <f t="shared" si="56"/>
        <v>405.36</v>
      </c>
      <c r="S53" s="15">
        <f t="shared" si="57"/>
        <v>478.33</v>
      </c>
      <c r="T53" s="15">
        <f t="shared" si="58"/>
        <v>378.34</v>
      </c>
      <c r="U53" s="15">
        <f t="shared" si="59"/>
        <v>618.85</v>
      </c>
      <c r="V53" s="15">
        <f t="shared" si="41"/>
        <v>370.23</v>
      </c>
    </row>
    <row r="54" spans="1:22" x14ac:dyDescent="0.15">
      <c r="A54" s="4">
        <v>10</v>
      </c>
      <c r="B54" s="12">
        <v>2.25</v>
      </c>
      <c r="C54" s="12">
        <v>1</v>
      </c>
      <c r="D54" s="15">
        <f t="shared" si="42"/>
        <v>41971.847917333282</v>
      </c>
      <c r="E54" s="15">
        <f t="shared" si="43"/>
        <v>45.07</v>
      </c>
      <c r="F54" s="15">
        <f t="shared" si="44"/>
        <v>76.48</v>
      </c>
      <c r="G54" s="15">
        <f t="shared" si="45"/>
        <v>99.7</v>
      </c>
      <c r="H54" s="15">
        <f t="shared" si="46"/>
        <v>75.12</v>
      </c>
      <c r="I54" s="15">
        <f t="shared" si="47"/>
        <v>68.290000000000006</v>
      </c>
      <c r="J54" s="15">
        <f t="shared" si="48"/>
        <v>69.66</v>
      </c>
      <c r="K54" s="15">
        <f t="shared" si="49"/>
        <v>68.290000000000006</v>
      </c>
      <c r="L54" s="15">
        <f t="shared" si="50"/>
        <v>62.83</v>
      </c>
      <c r="M54" s="15">
        <f t="shared" si="51"/>
        <v>69.66</v>
      </c>
      <c r="N54" s="15">
        <f t="shared" si="52"/>
        <v>1736.28</v>
      </c>
      <c r="O54" s="15">
        <f t="shared" si="53"/>
        <v>1204.6400000000001</v>
      </c>
      <c r="P54" s="15">
        <f t="shared" si="54"/>
        <v>900.41</v>
      </c>
      <c r="Q54" s="15">
        <f t="shared" si="55"/>
        <v>673</v>
      </c>
      <c r="R54" s="15">
        <f t="shared" si="56"/>
        <v>460.96</v>
      </c>
      <c r="S54" s="15">
        <f t="shared" si="57"/>
        <v>543.92999999999995</v>
      </c>
      <c r="T54" s="15">
        <f t="shared" si="58"/>
        <v>430.23</v>
      </c>
      <c r="U54" s="15">
        <f t="shared" si="59"/>
        <v>703.73</v>
      </c>
      <c r="V54" s="15">
        <f t="shared" si="41"/>
        <v>421.01</v>
      </c>
    </row>
    <row r="57" spans="1:22" ht="18" customHeight="1" x14ac:dyDescent="0.15">
      <c r="A57" s="14" t="s">
        <v>602</v>
      </c>
      <c r="B57" s="12">
        <v>30</v>
      </c>
      <c r="C57" s="14" t="s">
        <v>603</v>
      </c>
      <c r="D57" s="12">
        <v>0.9</v>
      </c>
      <c r="E57" s="14" t="s">
        <v>605</v>
      </c>
      <c r="F57" s="12">
        <f>D57/B57</f>
        <v>3.0000000000000002E-2</v>
      </c>
      <c r="G57" s="14" t="s">
        <v>604</v>
      </c>
      <c r="H57" s="12">
        <v>1.1200000000000001</v>
      </c>
      <c r="I57" s="18"/>
      <c r="J57" s="18"/>
      <c r="K57" t="s">
        <v>1316</v>
      </c>
      <c r="P57" t="s">
        <v>1316</v>
      </c>
      <c r="U57" t="s">
        <v>1345</v>
      </c>
    </row>
    <row r="58" spans="1:22" x14ac:dyDescent="0.15">
      <c r="I58">
        <v>34</v>
      </c>
      <c r="J58">
        <v>7</v>
      </c>
      <c r="K58">
        <v>1.2</v>
      </c>
      <c r="N58" s="18">
        <v>16</v>
      </c>
      <c r="O58" s="18">
        <v>5.5</v>
      </c>
      <c r="P58">
        <v>1</v>
      </c>
      <c r="S58">
        <v>17</v>
      </c>
      <c r="T58">
        <v>4</v>
      </c>
      <c r="U58">
        <v>1</v>
      </c>
    </row>
    <row r="59" spans="1:22" ht="20.25" x14ac:dyDescent="0.15">
      <c r="A59" s="97" t="s">
        <v>596</v>
      </c>
      <c r="B59" s="97"/>
      <c r="C59" s="97"/>
      <c r="D59" s="97"/>
      <c r="E59" s="97"/>
      <c r="F59" s="97"/>
      <c r="I59" s="97" t="s">
        <v>1315</v>
      </c>
      <c r="J59" s="97"/>
      <c r="K59" s="97"/>
      <c r="L59" s="97"/>
      <c r="N59" s="97" t="s">
        <v>1343</v>
      </c>
      <c r="O59" s="97"/>
      <c r="P59" s="97"/>
      <c r="Q59" s="97"/>
      <c r="S59" s="97" t="s">
        <v>1344</v>
      </c>
      <c r="T59" s="97"/>
      <c r="U59" s="97"/>
      <c r="V59" s="97"/>
    </row>
    <row r="60" spans="1:22" x14ac:dyDescent="0.15">
      <c r="A60" s="11" t="s">
        <v>597</v>
      </c>
      <c r="B60" s="11" t="s">
        <v>598</v>
      </c>
      <c r="C60" s="11" t="s">
        <v>599</v>
      </c>
      <c r="D60" s="11" t="s">
        <v>600</v>
      </c>
      <c r="E60" s="11" t="s">
        <v>601</v>
      </c>
      <c r="F60" s="11" t="s">
        <v>1314</v>
      </c>
      <c r="I60" s="11" t="s">
        <v>598</v>
      </c>
      <c r="J60" s="11" t="s">
        <v>2</v>
      </c>
      <c r="K60" s="11" t="s">
        <v>600</v>
      </c>
      <c r="L60" s="11" t="s">
        <v>601</v>
      </c>
      <c r="M60" s="16"/>
      <c r="N60" s="11" t="s">
        <v>598</v>
      </c>
      <c r="O60" s="11" t="s">
        <v>2</v>
      </c>
      <c r="P60" s="11" t="s">
        <v>600</v>
      </c>
      <c r="Q60" s="11" t="s">
        <v>601</v>
      </c>
      <c r="S60" s="11" t="s">
        <v>598</v>
      </c>
      <c r="T60" s="11" t="s">
        <v>2</v>
      </c>
      <c r="U60" s="11" t="s">
        <v>600</v>
      </c>
      <c r="V60" s="11" t="s">
        <v>601</v>
      </c>
    </row>
    <row r="61" spans="1:22" x14ac:dyDescent="0.15">
      <c r="A61" s="12">
        <v>0</v>
      </c>
      <c r="B61" s="12">
        <f>$H$57^A61+F61</f>
        <v>1</v>
      </c>
      <c r="C61" s="12">
        <f>$H$57^A61+F61</f>
        <v>1</v>
      </c>
      <c r="D61" s="12">
        <f>F57</f>
        <v>3.0000000000000002E-2</v>
      </c>
      <c r="E61" s="12">
        <f>F57</f>
        <v>3.0000000000000002E-2</v>
      </c>
      <c r="F61" s="12">
        <v>0</v>
      </c>
      <c r="G61" s="12"/>
      <c r="I61" s="12">
        <f>INT($H$48*$I$58*$B61)</f>
        <v>1949</v>
      </c>
      <c r="J61" s="12">
        <f>INT($Q$48/$J$58*$C61*$K$58)</f>
        <v>45</v>
      </c>
      <c r="K61" s="12">
        <f>INT($H$48*$I$58*$D61)</f>
        <v>58</v>
      </c>
      <c r="L61" s="12">
        <f>ROUND($Q$48/$J$58*$E61*$K$58,2)</f>
        <v>1.35</v>
      </c>
      <c r="M61" s="16"/>
      <c r="N61" s="12">
        <f>INT($H$48*$N$58*$B61)</f>
        <v>917</v>
      </c>
      <c r="O61" s="12">
        <f>INT($Q$48/$O$58*$C61*$P$58)</f>
        <v>47</v>
      </c>
      <c r="P61" s="12">
        <f>INT($H$48*$N$58*$D61)</f>
        <v>27</v>
      </c>
      <c r="Q61" s="12">
        <f>ROUND($Q$48/$O$58*$E61*$P$58,2)</f>
        <v>1.43</v>
      </c>
      <c r="S61" s="12">
        <f>INT($H$48*$S$58*$B61)</f>
        <v>974</v>
      </c>
      <c r="T61" s="12">
        <f>INT($Q$48/$S$58*$C61*$T$58)</f>
        <v>61</v>
      </c>
      <c r="U61" s="12">
        <f>INT($H$48*$S$58*$D61)</f>
        <v>29</v>
      </c>
      <c r="V61" s="12">
        <f>ROUND($Q$48/$T$58*$E61*$U$58,2)</f>
        <v>1.97</v>
      </c>
    </row>
    <row r="62" spans="1:22" x14ac:dyDescent="0.15">
      <c r="A62" s="12">
        <v>1</v>
      </c>
      <c r="B62" s="12">
        <f t="shared" ref="B62:B71" si="60">$H$57^A62+F62</f>
        <v>1.1200000000000001</v>
      </c>
      <c r="C62" s="12">
        <f t="shared" ref="C62:C71" si="61">$H$57^A62+F62</f>
        <v>1.1200000000000001</v>
      </c>
      <c r="D62" s="12">
        <f>D61*$H$57</f>
        <v>3.3600000000000005E-2</v>
      </c>
      <c r="E62" s="12">
        <f>E61*$H$57</f>
        <v>3.3600000000000005E-2</v>
      </c>
      <c r="F62" s="12">
        <f t="shared" ref="F62:F63" si="62">F61+G61</f>
        <v>0</v>
      </c>
      <c r="G62" s="12"/>
      <c r="I62" s="12">
        <f t="shared" ref="I62:I71" si="63">INT($H$48*$I$58*$B62)</f>
        <v>2183</v>
      </c>
      <c r="J62" s="12">
        <f t="shared" ref="J62:J71" si="64">INT($Q$48/$J$58*$C62*$K$58)</f>
        <v>50</v>
      </c>
      <c r="K62" s="12">
        <f t="shared" ref="K62:K71" si="65">INT($H$48*$I$58*$D62)</f>
        <v>65</v>
      </c>
      <c r="L62" s="12">
        <f t="shared" ref="L62:L71" si="66">ROUND($Q$48/$J$58*$E62*$K$58,2)</f>
        <v>1.51</v>
      </c>
      <c r="M62" s="16"/>
      <c r="N62" s="12">
        <f t="shared" ref="N62:N71" si="67">INT($H$48*$N$58*$B62)</f>
        <v>1027</v>
      </c>
      <c r="O62" s="12">
        <f t="shared" ref="O62:O71" si="68">INT($Q$48/$O$58*$C62*$P$58)</f>
        <v>53</v>
      </c>
      <c r="P62" s="12">
        <f t="shared" ref="P62:P71" si="69">INT($H$48*$N$58*$D62)</f>
        <v>30</v>
      </c>
      <c r="Q62" s="12">
        <f t="shared" ref="Q62:Q71" si="70">ROUND($Q$48/$O$58*$E62*$P$58,2)</f>
        <v>1.6</v>
      </c>
      <c r="S62" s="12">
        <f t="shared" ref="S62:S71" si="71">INT($H$48*$S$58*$B62)</f>
        <v>1091</v>
      </c>
      <c r="T62" s="12">
        <f t="shared" ref="T62:T71" si="72">INT($Q$48/$S$58*$C62*$T$58)</f>
        <v>69</v>
      </c>
      <c r="U62" s="12">
        <f t="shared" ref="U62:U71" si="73">INT($H$48*$S$58*$D62)</f>
        <v>32</v>
      </c>
      <c r="V62" s="12">
        <f t="shared" ref="V62:V71" si="74">ROUND($Q$48/$T$58*$E62*$U$58,2)</f>
        <v>2.21</v>
      </c>
    </row>
    <row r="63" spans="1:22" x14ac:dyDescent="0.15">
      <c r="A63" s="12">
        <v>2</v>
      </c>
      <c r="B63" s="12">
        <f t="shared" si="60"/>
        <v>1.2544000000000002</v>
      </c>
      <c r="C63" s="12">
        <f t="shared" si="61"/>
        <v>1.2544000000000002</v>
      </c>
      <c r="D63" s="12">
        <f t="shared" ref="D63:E71" si="75">D62*$H$57</f>
        <v>3.7632000000000006E-2</v>
      </c>
      <c r="E63" s="12">
        <f t="shared" si="75"/>
        <v>3.7632000000000006E-2</v>
      </c>
      <c r="F63" s="12">
        <f t="shared" si="62"/>
        <v>0</v>
      </c>
      <c r="G63" s="12"/>
      <c r="I63" s="12">
        <f t="shared" si="63"/>
        <v>2445</v>
      </c>
      <c r="J63" s="12">
        <f t="shared" si="64"/>
        <v>56</v>
      </c>
      <c r="K63" s="12">
        <f t="shared" si="65"/>
        <v>73</v>
      </c>
      <c r="L63" s="12">
        <f t="shared" si="66"/>
        <v>1.69</v>
      </c>
      <c r="M63" s="16"/>
      <c r="N63" s="12">
        <f t="shared" si="67"/>
        <v>1150</v>
      </c>
      <c r="O63" s="12">
        <f t="shared" si="68"/>
        <v>59</v>
      </c>
      <c r="P63" s="12">
        <f t="shared" si="69"/>
        <v>34</v>
      </c>
      <c r="Q63" s="12">
        <f t="shared" si="70"/>
        <v>1.8</v>
      </c>
      <c r="S63" s="12">
        <f t="shared" si="71"/>
        <v>1222</v>
      </c>
      <c r="T63" s="12">
        <f t="shared" si="72"/>
        <v>77</v>
      </c>
      <c r="U63" s="12">
        <f t="shared" si="73"/>
        <v>36</v>
      </c>
      <c r="V63" s="12">
        <f t="shared" si="74"/>
        <v>2.4700000000000002</v>
      </c>
    </row>
    <row r="64" spans="1:22" x14ac:dyDescent="0.15">
      <c r="A64" s="12">
        <v>3</v>
      </c>
      <c r="B64" s="12">
        <f t="shared" si="60"/>
        <v>1.4049280000000004</v>
      </c>
      <c r="C64" s="12">
        <f t="shared" si="61"/>
        <v>1.4049280000000004</v>
      </c>
      <c r="D64" s="12">
        <f t="shared" si="75"/>
        <v>4.2147840000000013E-2</v>
      </c>
      <c r="E64" s="12">
        <f t="shared" si="75"/>
        <v>4.2147840000000013E-2</v>
      </c>
      <c r="F64" s="12">
        <f>F63+G63</f>
        <v>0</v>
      </c>
      <c r="G64" s="12"/>
      <c r="I64" s="12">
        <f t="shared" si="63"/>
        <v>2738</v>
      </c>
      <c r="J64" s="12">
        <f t="shared" si="64"/>
        <v>63</v>
      </c>
      <c r="K64" s="12">
        <f t="shared" si="65"/>
        <v>82</v>
      </c>
      <c r="L64" s="12">
        <f t="shared" si="66"/>
        <v>1.9</v>
      </c>
      <c r="M64" s="16"/>
      <c r="N64" s="12">
        <f t="shared" si="67"/>
        <v>1288</v>
      </c>
      <c r="O64" s="12">
        <f t="shared" si="68"/>
        <v>67</v>
      </c>
      <c r="P64" s="12">
        <f t="shared" si="69"/>
        <v>38</v>
      </c>
      <c r="Q64" s="12">
        <f t="shared" si="70"/>
        <v>2.0099999999999998</v>
      </c>
      <c r="S64" s="12">
        <f t="shared" si="71"/>
        <v>1369</v>
      </c>
      <c r="T64" s="12">
        <f t="shared" si="72"/>
        <v>86</v>
      </c>
      <c r="U64" s="12">
        <f t="shared" si="73"/>
        <v>41</v>
      </c>
      <c r="V64" s="12">
        <f t="shared" si="74"/>
        <v>2.77</v>
      </c>
    </row>
    <row r="65" spans="1:22" x14ac:dyDescent="0.15">
      <c r="A65" s="12">
        <v>4</v>
      </c>
      <c r="B65" s="12">
        <f t="shared" si="60"/>
        <v>1.5735193600000004</v>
      </c>
      <c r="C65" s="12">
        <f t="shared" si="61"/>
        <v>1.5735193600000004</v>
      </c>
      <c r="D65" s="12">
        <f t="shared" si="75"/>
        <v>4.7205580800000022E-2</v>
      </c>
      <c r="E65" s="12">
        <f t="shared" si="75"/>
        <v>4.7205580800000022E-2</v>
      </c>
      <c r="F65" s="12">
        <f t="shared" ref="F65:F71" si="76">F64+G64</f>
        <v>0</v>
      </c>
      <c r="G65" s="12"/>
      <c r="I65" s="12">
        <f t="shared" si="63"/>
        <v>3067</v>
      </c>
      <c r="J65" s="12">
        <f t="shared" si="64"/>
        <v>70</v>
      </c>
      <c r="K65" s="12">
        <f t="shared" si="65"/>
        <v>92</v>
      </c>
      <c r="L65" s="12">
        <f t="shared" si="66"/>
        <v>2.12</v>
      </c>
      <c r="M65" s="16"/>
      <c r="N65" s="12">
        <f t="shared" si="67"/>
        <v>1443</v>
      </c>
      <c r="O65" s="12">
        <f t="shared" si="68"/>
        <v>75</v>
      </c>
      <c r="P65" s="12">
        <f t="shared" si="69"/>
        <v>43</v>
      </c>
      <c r="Q65" s="12">
        <f t="shared" si="70"/>
        <v>2.25</v>
      </c>
      <c r="S65" s="12">
        <f t="shared" si="71"/>
        <v>1533</v>
      </c>
      <c r="T65" s="12">
        <f t="shared" si="72"/>
        <v>97</v>
      </c>
      <c r="U65" s="12">
        <f t="shared" si="73"/>
        <v>46</v>
      </c>
      <c r="V65" s="12">
        <f t="shared" si="74"/>
        <v>3.1</v>
      </c>
    </row>
    <row r="66" spans="1:22" x14ac:dyDescent="0.15">
      <c r="A66" s="12">
        <v>5</v>
      </c>
      <c r="B66" s="12">
        <f t="shared" si="60"/>
        <v>1.7623416832000005</v>
      </c>
      <c r="C66" s="12">
        <f t="shared" si="61"/>
        <v>1.7623416832000005</v>
      </c>
      <c r="D66" s="12">
        <f t="shared" si="75"/>
        <v>5.2870250496000026E-2</v>
      </c>
      <c r="E66" s="12">
        <f t="shared" si="75"/>
        <v>5.2870250496000026E-2</v>
      </c>
      <c r="F66" s="12">
        <f t="shared" si="76"/>
        <v>0</v>
      </c>
      <c r="G66" s="12"/>
      <c r="I66" s="12">
        <f t="shared" si="63"/>
        <v>3435</v>
      </c>
      <c r="J66" s="12">
        <f t="shared" si="64"/>
        <v>79</v>
      </c>
      <c r="K66" s="12">
        <f t="shared" si="65"/>
        <v>103</v>
      </c>
      <c r="L66" s="12">
        <f t="shared" si="66"/>
        <v>2.38</v>
      </c>
      <c r="M66" s="16"/>
      <c r="N66" s="12">
        <f t="shared" si="67"/>
        <v>1616</v>
      </c>
      <c r="O66" s="12">
        <f t="shared" si="68"/>
        <v>84</v>
      </c>
      <c r="P66" s="12">
        <f t="shared" si="69"/>
        <v>48</v>
      </c>
      <c r="Q66" s="12">
        <f t="shared" si="70"/>
        <v>2.52</v>
      </c>
      <c r="S66" s="12">
        <f t="shared" si="71"/>
        <v>1717</v>
      </c>
      <c r="T66" s="12">
        <f t="shared" si="72"/>
        <v>108</v>
      </c>
      <c r="U66" s="12">
        <f t="shared" si="73"/>
        <v>51</v>
      </c>
      <c r="V66" s="12">
        <f t="shared" si="74"/>
        <v>3.47</v>
      </c>
    </row>
    <row r="67" spans="1:22" x14ac:dyDescent="0.15">
      <c r="A67" s="12">
        <v>6</v>
      </c>
      <c r="B67" s="12">
        <f t="shared" si="60"/>
        <v>1.9738226851840008</v>
      </c>
      <c r="C67" s="12">
        <f t="shared" si="61"/>
        <v>1.9738226851840008</v>
      </c>
      <c r="D67" s="12">
        <f t="shared" si="75"/>
        <v>5.9214680555520038E-2</v>
      </c>
      <c r="E67" s="12">
        <f t="shared" si="75"/>
        <v>5.9214680555520038E-2</v>
      </c>
      <c r="F67" s="12">
        <f t="shared" si="76"/>
        <v>0</v>
      </c>
      <c r="G67" s="12"/>
      <c r="I67" s="12">
        <f t="shared" si="63"/>
        <v>3848</v>
      </c>
      <c r="J67" s="12">
        <f t="shared" si="64"/>
        <v>88</v>
      </c>
      <c r="K67" s="12">
        <f t="shared" si="65"/>
        <v>115</v>
      </c>
      <c r="L67" s="12">
        <f t="shared" si="66"/>
        <v>2.67</v>
      </c>
      <c r="M67" s="16"/>
      <c r="N67" s="12">
        <f t="shared" si="67"/>
        <v>1810</v>
      </c>
      <c r="O67" s="12">
        <f t="shared" si="68"/>
        <v>94</v>
      </c>
      <c r="P67" s="12">
        <f t="shared" si="69"/>
        <v>54</v>
      </c>
      <c r="Q67" s="12">
        <f t="shared" si="70"/>
        <v>2.83</v>
      </c>
      <c r="S67" s="12">
        <f t="shared" si="71"/>
        <v>1924</v>
      </c>
      <c r="T67" s="12">
        <f t="shared" si="72"/>
        <v>121</v>
      </c>
      <c r="U67" s="12">
        <f t="shared" si="73"/>
        <v>57</v>
      </c>
      <c r="V67" s="12">
        <f t="shared" si="74"/>
        <v>3.89</v>
      </c>
    </row>
    <row r="68" spans="1:22" x14ac:dyDescent="0.15">
      <c r="A68" s="12">
        <v>7</v>
      </c>
      <c r="B68" s="12">
        <f t="shared" si="60"/>
        <v>2.210681407406081</v>
      </c>
      <c r="C68" s="12">
        <f t="shared" si="61"/>
        <v>2.210681407406081</v>
      </c>
      <c r="D68" s="12">
        <f t="shared" si="75"/>
        <v>6.6320442222182446E-2</v>
      </c>
      <c r="E68" s="12">
        <f t="shared" si="75"/>
        <v>6.6320442222182446E-2</v>
      </c>
      <c r="F68" s="12">
        <f t="shared" si="76"/>
        <v>0</v>
      </c>
      <c r="G68" s="12"/>
      <c r="I68" s="12">
        <f t="shared" si="63"/>
        <v>4309</v>
      </c>
      <c r="J68" s="12">
        <f t="shared" si="64"/>
        <v>99</v>
      </c>
      <c r="K68" s="12">
        <f t="shared" si="65"/>
        <v>129</v>
      </c>
      <c r="L68" s="12">
        <f t="shared" si="66"/>
        <v>2.99</v>
      </c>
      <c r="M68" s="16"/>
      <c r="N68" s="12">
        <f t="shared" si="67"/>
        <v>2028</v>
      </c>
      <c r="O68" s="12">
        <f t="shared" si="68"/>
        <v>105</v>
      </c>
      <c r="P68" s="12">
        <f t="shared" si="69"/>
        <v>60</v>
      </c>
      <c r="Q68" s="12">
        <f t="shared" si="70"/>
        <v>3.17</v>
      </c>
      <c r="S68" s="12">
        <f t="shared" si="71"/>
        <v>2154</v>
      </c>
      <c r="T68" s="12">
        <f t="shared" si="72"/>
        <v>136</v>
      </c>
      <c r="U68" s="12">
        <f t="shared" si="73"/>
        <v>64</v>
      </c>
      <c r="V68" s="12">
        <f t="shared" si="74"/>
        <v>4.3499999999999996</v>
      </c>
    </row>
    <row r="69" spans="1:22" x14ac:dyDescent="0.15">
      <c r="A69" s="12">
        <v>8</v>
      </c>
      <c r="B69" s="12">
        <f t="shared" si="60"/>
        <v>2.4759631762948109</v>
      </c>
      <c r="C69" s="12">
        <f t="shared" si="61"/>
        <v>2.4759631762948109</v>
      </c>
      <c r="D69" s="12">
        <f t="shared" si="75"/>
        <v>7.4278895288844349E-2</v>
      </c>
      <c r="E69" s="12">
        <f t="shared" si="75"/>
        <v>7.4278895288844349E-2</v>
      </c>
      <c r="F69" s="12">
        <f t="shared" si="76"/>
        <v>0</v>
      </c>
      <c r="G69" s="12"/>
      <c r="I69" s="12">
        <f t="shared" si="63"/>
        <v>4827</v>
      </c>
      <c r="J69" s="12">
        <f t="shared" si="64"/>
        <v>111</v>
      </c>
      <c r="K69" s="12">
        <f t="shared" si="65"/>
        <v>144</v>
      </c>
      <c r="L69" s="12">
        <f t="shared" si="66"/>
        <v>3.34</v>
      </c>
      <c r="N69" s="12">
        <f t="shared" si="67"/>
        <v>2271</v>
      </c>
      <c r="O69" s="12">
        <f t="shared" si="68"/>
        <v>118</v>
      </c>
      <c r="P69" s="12">
        <f t="shared" si="69"/>
        <v>68</v>
      </c>
      <c r="Q69" s="12">
        <f t="shared" si="70"/>
        <v>3.55</v>
      </c>
      <c r="S69" s="12">
        <f t="shared" si="71"/>
        <v>2413</v>
      </c>
      <c r="T69" s="12">
        <f t="shared" si="72"/>
        <v>152</v>
      </c>
      <c r="U69" s="12">
        <f t="shared" si="73"/>
        <v>72</v>
      </c>
      <c r="V69" s="12">
        <f t="shared" si="74"/>
        <v>4.88</v>
      </c>
    </row>
    <row r="70" spans="1:22" x14ac:dyDescent="0.15">
      <c r="A70" s="12">
        <v>9</v>
      </c>
      <c r="B70" s="12">
        <f t="shared" si="60"/>
        <v>2.7730787574501883</v>
      </c>
      <c r="C70" s="12">
        <f t="shared" si="61"/>
        <v>2.7730787574501883</v>
      </c>
      <c r="D70" s="12">
        <f t="shared" si="75"/>
        <v>8.3192362723505678E-2</v>
      </c>
      <c r="E70" s="12">
        <f t="shared" si="75"/>
        <v>8.3192362723505678E-2</v>
      </c>
      <c r="F70" s="12">
        <f t="shared" si="76"/>
        <v>0</v>
      </c>
      <c r="G70" s="12"/>
      <c r="I70" s="12">
        <f t="shared" si="63"/>
        <v>5406</v>
      </c>
      <c r="J70" s="12">
        <f t="shared" si="64"/>
        <v>124</v>
      </c>
      <c r="K70" s="12">
        <f t="shared" si="65"/>
        <v>162</v>
      </c>
      <c r="L70" s="12">
        <f t="shared" si="66"/>
        <v>3.74</v>
      </c>
      <c r="N70" s="12">
        <f t="shared" si="67"/>
        <v>2544</v>
      </c>
      <c r="O70" s="12">
        <f t="shared" si="68"/>
        <v>132</v>
      </c>
      <c r="P70" s="12">
        <f t="shared" si="69"/>
        <v>76</v>
      </c>
      <c r="Q70" s="12">
        <f t="shared" si="70"/>
        <v>3.97</v>
      </c>
      <c r="S70" s="12">
        <f t="shared" si="71"/>
        <v>2703</v>
      </c>
      <c r="T70" s="12">
        <f t="shared" si="72"/>
        <v>171</v>
      </c>
      <c r="U70" s="12">
        <f t="shared" si="73"/>
        <v>81</v>
      </c>
      <c r="V70" s="12">
        <f t="shared" si="74"/>
        <v>5.46</v>
      </c>
    </row>
    <row r="71" spans="1:22" x14ac:dyDescent="0.15">
      <c r="A71" s="12">
        <v>10</v>
      </c>
      <c r="B71" s="12">
        <f t="shared" si="60"/>
        <v>3.1058482083442112</v>
      </c>
      <c r="C71" s="12">
        <f t="shared" si="61"/>
        <v>3.1058482083442112</v>
      </c>
      <c r="D71" s="12">
        <f t="shared" si="75"/>
        <v>9.3175446250326366E-2</v>
      </c>
      <c r="E71" s="12">
        <f t="shared" si="75"/>
        <v>9.3175446250326366E-2</v>
      </c>
      <c r="F71" s="12">
        <f t="shared" si="76"/>
        <v>0</v>
      </c>
      <c r="G71" s="12"/>
      <c r="I71" s="12">
        <f t="shared" si="63"/>
        <v>6055</v>
      </c>
      <c r="J71" s="12">
        <f t="shared" si="64"/>
        <v>139</v>
      </c>
      <c r="K71" s="12">
        <f t="shared" si="65"/>
        <v>181</v>
      </c>
      <c r="L71" s="12">
        <f t="shared" si="66"/>
        <v>4.1900000000000004</v>
      </c>
      <c r="N71" s="12">
        <f t="shared" si="67"/>
        <v>2849</v>
      </c>
      <c r="O71" s="12">
        <f t="shared" si="68"/>
        <v>148</v>
      </c>
      <c r="P71" s="12">
        <f t="shared" si="69"/>
        <v>85</v>
      </c>
      <c r="Q71" s="12">
        <f t="shared" si="70"/>
        <v>4.45</v>
      </c>
      <c r="S71" s="12">
        <f t="shared" si="71"/>
        <v>3027</v>
      </c>
      <c r="T71" s="12">
        <f t="shared" si="72"/>
        <v>191</v>
      </c>
      <c r="U71" s="12">
        <f t="shared" si="73"/>
        <v>90</v>
      </c>
      <c r="V71" s="12">
        <f t="shared" si="74"/>
        <v>6.12</v>
      </c>
    </row>
    <row r="74" spans="1:22" ht="20.25" x14ac:dyDescent="0.15">
      <c r="A74" s="97" t="s">
        <v>2886</v>
      </c>
      <c r="B74" s="97"/>
      <c r="C74" s="97"/>
      <c r="D74" s="97"/>
      <c r="E74" s="70"/>
      <c r="F74" s="97" t="s">
        <v>3021</v>
      </c>
      <c r="G74" s="97"/>
      <c r="H74" s="97"/>
    </row>
    <row r="75" spans="1:22" x14ac:dyDescent="0.15">
      <c r="A75" s="91" t="s">
        <v>2889</v>
      </c>
      <c r="B75" s="15">
        <f>(B71/B61)^0.25</f>
        <v>1.3275321778397693</v>
      </c>
      <c r="F75" s="96" t="s">
        <v>3022</v>
      </c>
      <c r="G75" s="12">
        <v>6</v>
      </c>
    </row>
    <row r="76" spans="1:22" x14ac:dyDescent="0.15">
      <c r="A76" s="91" t="s">
        <v>2890</v>
      </c>
      <c r="B76" s="12">
        <v>3</v>
      </c>
      <c r="F76" s="96" t="s">
        <v>3023</v>
      </c>
      <c r="G76" s="12">
        <v>4</v>
      </c>
    </row>
    <row r="77" spans="1:22" s="70" customFormat="1" x14ac:dyDescent="0.15">
      <c r="C77" s="15">
        <f>INDEX(S45:S54,B76)</f>
        <v>163.62</v>
      </c>
      <c r="D77" s="15">
        <f>INDEX(O45:O54,B76)</f>
        <v>362.38</v>
      </c>
    </row>
    <row r="78" spans="1:22" x14ac:dyDescent="0.15">
      <c r="A78" s="11" t="s">
        <v>2892</v>
      </c>
      <c r="B78" s="11" t="s">
        <v>2891</v>
      </c>
      <c r="C78" s="11" t="s">
        <v>2887</v>
      </c>
      <c r="D78" s="11" t="s">
        <v>2888</v>
      </c>
      <c r="F78" s="89" t="s">
        <v>3024</v>
      </c>
      <c r="G78" s="11" t="s">
        <v>2</v>
      </c>
      <c r="H78" s="11" t="s">
        <v>601</v>
      </c>
    </row>
    <row r="79" spans="1:22" x14ac:dyDescent="0.15">
      <c r="A79" s="15">
        <v>1</v>
      </c>
      <c r="B79" s="15">
        <f>B61*血量调整</f>
        <v>1</v>
      </c>
      <c r="C79" s="15">
        <f>C$77*$B79</f>
        <v>163.62</v>
      </c>
      <c r="D79" s="15">
        <f>D$77*$B79</f>
        <v>362.38</v>
      </c>
      <c r="F79" s="12">
        <v>0</v>
      </c>
      <c r="G79" s="15">
        <f>ROUND(C61*INDEX($J$45:$J$54,$G$75)*$G$76*$M$31,0)</f>
        <v>310</v>
      </c>
      <c r="H79" s="15">
        <f>ROUND(E61*INDEX($J$45:$J$54,$G$75)*$G$76*$M$31,2)</f>
        <v>9.2899999999999991</v>
      </c>
    </row>
    <row r="80" spans="1:22" x14ac:dyDescent="0.15">
      <c r="A80" s="15">
        <v>2</v>
      </c>
      <c r="B80" s="15">
        <f>B79*$B$75</f>
        <v>1.3275321778397693</v>
      </c>
      <c r="C80" s="15">
        <f t="shared" ref="C80:D83" si="77">C$77*$B80</f>
        <v>217.21081493814305</v>
      </c>
      <c r="D80" s="15">
        <f t="shared" si="77"/>
        <v>481.0711106055756</v>
      </c>
      <c r="F80" s="12">
        <v>1</v>
      </c>
      <c r="G80" s="15">
        <f t="shared" ref="G80:G89" si="78">ROUND(C62*INDEX($J$45:$J$54,$G$75)*$G$76*$M$31,0)</f>
        <v>347</v>
      </c>
      <c r="H80" s="15">
        <f t="shared" ref="H80:H89" si="79">ROUND(E62*INDEX($J$45:$J$54,$G$75)*$G$76*$M$31,2)</f>
        <v>10.4</v>
      </c>
    </row>
    <row r="81" spans="1:8" x14ac:dyDescent="0.15">
      <c r="A81" s="15">
        <v>3</v>
      </c>
      <c r="B81" s="15">
        <f t="shared" ref="B81:B83" si="80">B80*$B$75</f>
        <v>1.7623416832000007</v>
      </c>
      <c r="C81" s="15">
        <f t="shared" si="77"/>
        <v>288.35434620518413</v>
      </c>
      <c r="D81" s="15">
        <f t="shared" si="77"/>
        <v>638.6373791580163</v>
      </c>
      <c r="F81" s="12">
        <v>2</v>
      </c>
      <c r="G81" s="15">
        <f t="shared" si="78"/>
        <v>388</v>
      </c>
      <c r="H81" s="15">
        <f t="shared" si="79"/>
        <v>11.65</v>
      </c>
    </row>
    <row r="82" spans="1:8" x14ac:dyDescent="0.15">
      <c r="A82" s="15">
        <v>4</v>
      </c>
      <c r="B82" s="15">
        <f t="shared" si="80"/>
        <v>2.3395652927963018</v>
      </c>
      <c r="C82" s="15">
        <f t="shared" si="77"/>
        <v>382.7996732073309</v>
      </c>
      <c r="D82" s="15">
        <f t="shared" si="77"/>
        <v>847.81167080352384</v>
      </c>
      <c r="F82" s="12">
        <v>3</v>
      </c>
      <c r="G82" s="15">
        <f t="shared" si="78"/>
        <v>435</v>
      </c>
      <c r="H82" s="15">
        <f t="shared" si="79"/>
        <v>13.05</v>
      </c>
    </row>
    <row r="83" spans="1:8" x14ac:dyDescent="0.15">
      <c r="A83" s="15">
        <v>5</v>
      </c>
      <c r="B83" s="15">
        <f t="shared" si="80"/>
        <v>3.105848208344212</v>
      </c>
      <c r="C83" s="15">
        <f t="shared" si="77"/>
        <v>508.17888384928</v>
      </c>
      <c r="D83" s="15">
        <f t="shared" si="77"/>
        <v>1125.4972737397754</v>
      </c>
      <c r="F83" s="12">
        <v>4</v>
      </c>
      <c r="G83" s="15">
        <f t="shared" si="78"/>
        <v>487</v>
      </c>
      <c r="H83" s="15">
        <f t="shared" si="79"/>
        <v>14.61</v>
      </c>
    </row>
    <row r="84" spans="1:8" x14ac:dyDescent="0.15">
      <c r="F84" s="12">
        <v>5</v>
      </c>
      <c r="G84" s="15">
        <f t="shared" si="78"/>
        <v>546</v>
      </c>
      <c r="H84" s="15">
        <f t="shared" si="79"/>
        <v>16.37</v>
      </c>
    </row>
    <row r="85" spans="1:8" x14ac:dyDescent="0.15">
      <c r="F85" s="12">
        <v>6</v>
      </c>
      <c r="G85" s="15">
        <f t="shared" si="78"/>
        <v>611</v>
      </c>
      <c r="H85" s="15">
        <f t="shared" si="79"/>
        <v>18.329999999999998</v>
      </c>
    </row>
    <row r="86" spans="1:8" x14ac:dyDescent="0.15">
      <c r="F86" s="12">
        <v>7</v>
      </c>
      <c r="G86" s="15">
        <f t="shared" si="78"/>
        <v>684</v>
      </c>
      <c r="H86" s="15">
        <f t="shared" si="79"/>
        <v>20.53</v>
      </c>
    </row>
    <row r="87" spans="1:8" x14ac:dyDescent="0.15">
      <c r="F87" s="12">
        <v>8</v>
      </c>
      <c r="G87" s="15">
        <f t="shared" si="78"/>
        <v>766</v>
      </c>
      <c r="H87" s="15">
        <f t="shared" si="79"/>
        <v>22.99</v>
      </c>
    </row>
    <row r="88" spans="1:8" x14ac:dyDescent="0.15">
      <c r="F88" s="12">
        <v>9</v>
      </c>
      <c r="G88" s="15">
        <f t="shared" si="78"/>
        <v>858</v>
      </c>
      <c r="H88" s="15">
        <f t="shared" si="79"/>
        <v>25.75</v>
      </c>
    </row>
    <row r="89" spans="1:8" x14ac:dyDescent="0.15">
      <c r="F89" s="12">
        <v>10</v>
      </c>
      <c r="G89" s="15">
        <f t="shared" si="78"/>
        <v>961</v>
      </c>
      <c r="H89" s="15">
        <f t="shared" si="79"/>
        <v>28.84</v>
      </c>
    </row>
  </sheetData>
  <mergeCells count="22">
    <mergeCell ref="A14:B14"/>
    <mergeCell ref="L2:O2"/>
    <mergeCell ref="P2:R2"/>
    <mergeCell ref="S2:AA2"/>
    <mergeCell ref="A74:D74"/>
    <mergeCell ref="F74:H74"/>
    <mergeCell ref="AE2:AM2"/>
    <mergeCell ref="A59:F59"/>
    <mergeCell ref="I59:L59"/>
    <mergeCell ref="N59:Q59"/>
    <mergeCell ref="A3:I3"/>
    <mergeCell ref="E43:M43"/>
    <mergeCell ref="A23:D23"/>
    <mergeCell ref="A36:AA36"/>
    <mergeCell ref="N43:V43"/>
    <mergeCell ref="A41:V41"/>
    <mergeCell ref="A28:F28"/>
    <mergeCell ref="A43:D43"/>
    <mergeCell ref="K28:M28"/>
    <mergeCell ref="AB2:AD2"/>
    <mergeCell ref="S59:V59"/>
    <mergeCell ref="F14:L14"/>
  </mergeCells>
  <phoneticPr fontId="5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P21"/>
  <sheetViews>
    <sheetView workbookViewId="0">
      <selection activeCell="F6" sqref="F6:F15"/>
    </sheetView>
  </sheetViews>
  <sheetFormatPr defaultRowHeight="13.5" x14ac:dyDescent="0.15"/>
  <cols>
    <col min="1" max="2" width="9.125" bestFit="1" customWidth="1"/>
    <col min="3" max="3" width="9.125" style="44" customWidth="1"/>
    <col min="4" max="7" width="9.125" bestFit="1" customWidth="1"/>
    <col min="8" max="8" width="9.125" style="44" customWidth="1"/>
    <col min="9" max="10" width="9.125" bestFit="1" customWidth="1"/>
    <col min="11" max="11" width="9.5" bestFit="1" customWidth="1"/>
    <col min="12" max="12" width="9.125" bestFit="1" customWidth="1"/>
    <col min="13" max="13" width="9.125" style="44" customWidth="1"/>
    <col min="14" max="16" width="9.125" bestFit="1" customWidth="1"/>
  </cols>
  <sheetData>
    <row r="2" spans="1:16" ht="20.25" x14ac:dyDescent="0.15">
      <c r="A2" s="97" t="s">
        <v>1897</v>
      </c>
      <c r="B2" s="97"/>
      <c r="C2" s="97"/>
      <c r="D2" s="97"/>
      <c r="E2" s="97"/>
      <c r="F2" s="97"/>
      <c r="G2" s="97"/>
      <c r="H2" s="97"/>
      <c r="I2" s="97"/>
      <c r="J2" s="97"/>
      <c r="K2" s="97"/>
      <c r="L2" s="97"/>
      <c r="M2" s="97"/>
      <c r="N2" s="97"/>
      <c r="O2" s="97"/>
      <c r="P2" s="97"/>
    </row>
    <row r="3" spans="1:16" ht="18" customHeight="1" x14ac:dyDescent="0.15">
      <c r="B3" s="101" t="s">
        <v>1898</v>
      </c>
      <c r="C3" s="101"/>
      <c r="D3" s="101"/>
      <c r="E3" s="101"/>
      <c r="F3" s="101"/>
      <c r="G3" s="99" t="s">
        <v>1899</v>
      </c>
      <c r="H3" s="99"/>
      <c r="I3" s="99"/>
      <c r="J3" s="99"/>
      <c r="K3" s="99"/>
      <c r="L3" s="99" t="s">
        <v>1905</v>
      </c>
      <c r="M3" s="99"/>
      <c r="N3" s="99"/>
      <c r="O3" s="99"/>
      <c r="P3" s="99"/>
    </row>
    <row r="4" spans="1:16" x14ac:dyDescent="0.15">
      <c r="A4" s="11" t="s">
        <v>1900</v>
      </c>
      <c r="B4" s="11" t="s">
        <v>1901</v>
      </c>
      <c r="C4" s="11" t="s">
        <v>1908</v>
      </c>
      <c r="D4" s="11" t="s">
        <v>1902</v>
      </c>
      <c r="E4" s="11" t="s">
        <v>1903</v>
      </c>
      <c r="F4" s="11" t="s">
        <v>1904</v>
      </c>
      <c r="G4" s="11" t="s">
        <v>1901</v>
      </c>
      <c r="H4" s="11" t="s">
        <v>1908</v>
      </c>
      <c r="I4" s="11" t="s">
        <v>1902</v>
      </c>
      <c r="J4" s="11" t="s">
        <v>1903</v>
      </c>
      <c r="K4" s="11" t="s">
        <v>1904</v>
      </c>
      <c r="L4" s="11" t="s">
        <v>1901</v>
      </c>
      <c r="M4" s="11" t="s">
        <v>1908</v>
      </c>
      <c r="N4" s="11" t="s">
        <v>1902</v>
      </c>
      <c r="O4" s="11" t="s">
        <v>1903</v>
      </c>
      <c r="P4" s="11" t="s">
        <v>1904</v>
      </c>
    </row>
    <row r="5" spans="1:16" x14ac:dyDescent="0.15">
      <c r="A5" s="12">
        <v>0</v>
      </c>
      <c r="B5" s="12">
        <v>20</v>
      </c>
      <c r="C5" s="12">
        <v>20</v>
      </c>
      <c r="D5" s="12">
        <v>20</v>
      </c>
      <c r="E5" s="12">
        <v>20</v>
      </c>
      <c r="F5" s="12">
        <v>20</v>
      </c>
      <c r="G5" s="12">
        <v>0</v>
      </c>
      <c r="H5" s="12">
        <f>SUM(G5+I5)/2</f>
        <v>0</v>
      </c>
      <c r="I5" s="12">
        <v>0</v>
      </c>
      <c r="J5" s="12">
        <v>0</v>
      </c>
      <c r="K5" s="12">
        <v>0</v>
      </c>
      <c r="L5" s="12">
        <v>0</v>
      </c>
      <c r="M5" s="12">
        <f>INT(SUM(L5+N5)/2)</f>
        <v>0</v>
      </c>
      <c r="N5" s="12">
        <v>0</v>
      </c>
      <c r="O5" s="12">
        <v>0</v>
      </c>
      <c r="P5" s="12">
        <v>0</v>
      </c>
    </row>
    <row r="6" spans="1:16" x14ac:dyDescent="0.15">
      <c r="A6" s="12">
        <v>1</v>
      </c>
      <c r="B6" s="12">
        <v>5</v>
      </c>
      <c r="C6" s="12">
        <v>5</v>
      </c>
      <c r="D6" s="12">
        <v>5</v>
      </c>
      <c r="E6" s="12">
        <v>5</v>
      </c>
      <c r="F6" s="12">
        <v>5</v>
      </c>
      <c r="G6" s="12">
        <v>100</v>
      </c>
      <c r="H6" s="12">
        <f t="shared" ref="H6:H15" si="0">SUM(G6+I6)/2</f>
        <v>300</v>
      </c>
      <c r="I6" s="12">
        <v>500</v>
      </c>
      <c r="J6" s="12">
        <v>4000</v>
      </c>
      <c r="K6" s="12">
        <v>40000</v>
      </c>
      <c r="L6" s="12">
        <v>5</v>
      </c>
      <c r="M6" s="12">
        <v>5</v>
      </c>
      <c r="N6" s="12">
        <v>10</v>
      </c>
      <c r="O6" s="12">
        <v>25</v>
      </c>
      <c r="P6" s="12">
        <v>100</v>
      </c>
    </row>
    <row r="7" spans="1:16" x14ac:dyDescent="0.15">
      <c r="A7" s="12">
        <v>2</v>
      </c>
      <c r="B7" s="12">
        <v>10</v>
      </c>
      <c r="C7" s="12">
        <v>10</v>
      </c>
      <c r="D7" s="12">
        <v>10</v>
      </c>
      <c r="E7" s="12">
        <v>10</v>
      </c>
      <c r="F7" s="12">
        <v>10</v>
      </c>
      <c r="G7" s="12">
        <v>200</v>
      </c>
      <c r="H7" s="12">
        <f t="shared" si="0"/>
        <v>850</v>
      </c>
      <c r="I7" s="12">
        <v>1500</v>
      </c>
      <c r="J7" s="12">
        <v>10000</v>
      </c>
      <c r="K7" s="12">
        <v>100000</v>
      </c>
      <c r="L7" s="12">
        <v>10</v>
      </c>
      <c r="M7" s="12">
        <v>10</v>
      </c>
      <c r="N7" s="12">
        <v>20</v>
      </c>
      <c r="O7" s="12">
        <v>40</v>
      </c>
      <c r="P7" s="12">
        <v>180</v>
      </c>
    </row>
    <row r="8" spans="1:16" x14ac:dyDescent="0.15">
      <c r="A8" s="12">
        <v>3</v>
      </c>
      <c r="B8" s="12">
        <v>20</v>
      </c>
      <c r="C8" s="12">
        <v>20</v>
      </c>
      <c r="D8" s="12">
        <v>20</v>
      </c>
      <c r="E8" s="12">
        <v>20</v>
      </c>
      <c r="F8" s="12">
        <v>20</v>
      </c>
      <c r="G8" s="12">
        <v>500</v>
      </c>
      <c r="H8" s="12">
        <f t="shared" si="0"/>
        <v>2250</v>
      </c>
      <c r="I8" s="12">
        <v>4000</v>
      </c>
      <c r="J8" s="12">
        <v>20000</v>
      </c>
      <c r="K8" s="12">
        <v>200000</v>
      </c>
      <c r="L8" s="12">
        <v>15</v>
      </c>
      <c r="M8" s="12">
        <v>15</v>
      </c>
      <c r="N8" s="12">
        <v>30</v>
      </c>
      <c r="O8" s="12">
        <v>60</v>
      </c>
      <c r="P8" s="12">
        <v>270</v>
      </c>
    </row>
    <row r="9" spans="1:16" x14ac:dyDescent="0.15">
      <c r="A9" s="12">
        <v>4</v>
      </c>
      <c r="B9" s="12">
        <v>50</v>
      </c>
      <c r="C9" s="12">
        <v>50</v>
      </c>
      <c r="D9" s="12">
        <v>50</v>
      </c>
      <c r="E9" s="12">
        <v>50</v>
      </c>
      <c r="F9" s="12">
        <v>50</v>
      </c>
      <c r="G9" s="12">
        <v>1500</v>
      </c>
      <c r="H9" s="12">
        <f t="shared" si="0"/>
        <v>5750</v>
      </c>
      <c r="I9" s="12">
        <v>10000</v>
      </c>
      <c r="J9" s="12">
        <v>40000</v>
      </c>
      <c r="K9" s="12">
        <v>500000</v>
      </c>
      <c r="L9" s="12">
        <v>25</v>
      </c>
      <c r="M9" s="12">
        <v>25</v>
      </c>
      <c r="N9" s="12">
        <v>50</v>
      </c>
      <c r="O9" s="12">
        <v>100</v>
      </c>
      <c r="P9" s="12">
        <v>450</v>
      </c>
    </row>
    <row r="10" spans="1:16" x14ac:dyDescent="0.15">
      <c r="A10" s="12">
        <v>5</v>
      </c>
      <c r="B10" s="12">
        <v>80</v>
      </c>
      <c r="C10" s="12">
        <v>80</v>
      </c>
      <c r="D10" s="12">
        <v>80</v>
      </c>
      <c r="E10" s="12">
        <v>80</v>
      </c>
      <c r="F10" s="12">
        <v>80</v>
      </c>
      <c r="G10" s="12">
        <v>4000</v>
      </c>
      <c r="H10" s="12">
        <f t="shared" si="0"/>
        <v>12000</v>
      </c>
      <c r="I10" s="12">
        <v>20000</v>
      </c>
      <c r="J10" s="12">
        <v>100000</v>
      </c>
      <c r="K10" s="12">
        <v>1000000</v>
      </c>
      <c r="L10" s="12">
        <v>40</v>
      </c>
      <c r="M10" s="12">
        <v>40</v>
      </c>
      <c r="N10" s="12">
        <v>80</v>
      </c>
      <c r="O10" s="12">
        <v>150</v>
      </c>
      <c r="P10" s="12">
        <v>650</v>
      </c>
    </row>
    <row r="11" spans="1:16" x14ac:dyDescent="0.15">
      <c r="A11" s="12">
        <v>6</v>
      </c>
      <c r="B11" s="12">
        <v>120</v>
      </c>
      <c r="C11" s="12">
        <v>120</v>
      </c>
      <c r="D11" s="12">
        <v>120</v>
      </c>
      <c r="E11" s="12">
        <v>120</v>
      </c>
      <c r="F11" s="12">
        <v>120</v>
      </c>
      <c r="G11" s="12">
        <v>10000</v>
      </c>
      <c r="H11" s="12">
        <f t="shared" si="0"/>
        <v>25000</v>
      </c>
      <c r="I11" s="12">
        <v>40000</v>
      </c>
      <c r="J11" s="12">
        <v>200000</v>
      </c>
      <c r="K11" s="12">
        <v>2000000</v>
      </c>
      <c r="L11" s="12">
        <v>65</v>
      </c>
      <c r="M11" s="12">
        <v>65</v>
      </c>
      <c r="N11" s="12">
        <v>130</v>
      </c>
      <c r="O11" s="12">
        <v>250</v>
      </c>
      <c r="P11" s="12">
        <v>1200</v>
      </c>
    </row>
    <row r="12" spans="1:16" x14ac:dyDescent="0.15">
      <c r="A12" s="12">
        <v>7</v>
      </c>
      <c r="B12" s="12">
        <v>200</v>
      </c>
      <c r="C12" s="12">
        <v>200</v>
      </c>
      <c r="D12" s="12">
        <v>200</v>
      </c>
      <c r="E12" s="12">
        <v>200</v>
      </c>
      <c r="F12" s="12">
        <v>200</v>
      </c>
      <c r="G12" s="12">
        <v>20000</v>
      </c>
      <c r="H12" s="12">
        <f t="shared" si="0"/>
        <v>60000</v>
      </c>
      <c r="I12" s="12">
        <v>100000</v>
      </c>
      <c r="J12" s="12">
        <v>500000</v>
      </c>
      <c r="K12" s="12">
        <v>5000000</v>
      </c>
      <c r="L12" s="12">
        <v>100</v>
      </c>
      <c r="M12" s="12">
        <v>100</v>
      </c>
      <c r="N12" s="12">
        <v>200</v>
      </c>
      <c r="O12" s="12">
        <v>400</v>
      </c>
      <c r="P12" s="12">
        <v>1800</v>
      </c>
    </row>
    <row r="13" spans="1:16" x14ac:dyDescent="0.15">
      <c r="A13" s="12">
        <v>8</v>
      </c>
      <c r="B13" s="12">
        <v>350</v>
      </c>
      <c r="C13" s="12">
        <v>350</v>
      </c>
      <c r="D13" s="12">
        <v>350</v>
      </c>
      <c r="E13" s="12">
        <v>350</v>
      </c>
      <c r="F13" s="12">
        <v>350</v>
      </c>
      <c r="G13" s="12">
        <v>40000</v>
      </c>
      <c r="H13" s="12">
        <f t="shared" si="0"/>
        <v>120000</v>
      </c>
      <c r="I13" s="12">
        <v>200000</v>
      </c>
      <c r="J13" s="12">
        <v>1000000</v>
      </c>
      <c r="K13" s="12">
        <v>10000000</v>
      </c>
      <c r="L13" s="12">
        <v>150</v>
      </c>
      <c r="M13" s="12">
        <v>150</v>
      </c>
      <c r="N13" s="12">
        <v>300</v>
      </c>
      <c r="O13" s="12">
        <v>600</v>
      </c>
      <c r="P13" s="12">
        <v>2700</v>
      </c>
    </row>
    <row r="14" spans="1:16" x14ac:dyDescent="0.15">
      <c r="A14" s="12">
        <v>9</v>
      </c>
      <c r="B14" s="12">
        <v>600</v>
      </c>
      <c r="C14" s="12">
        <v>600</v>
      </c>
      <c r="D14" s="12">
        <v>600</v>
      </c>
      <c r="E14" s="12">
        <v>600</v>
      </c>
      <c r="F14" s="12">
        <v>600</v>
      </c>
      <c r="G14" s="12">
        <v>100000</v>
      </c>
      <c r="H14" s="12">
        <f t="shared" si="0"/>
        <v>300000</v>
      </c>
      <c r="I14" s="12">
        <v>500000</v>
      </c>
      <c r="J14" s="12">
        <v>2000000</v>
      </c>
      <c r="K14" s="12">
        <v>20000000</v>
      </c>
      <c r="L14" s="12">
        <v>230</v>
      </c>
      <c r="M14" s="12">
        <v>230</v>
      </c>
      <c r="N14" s="12">
        <v>450</v>
      </c>
      <c r="O14" s="12">
        <v>900</v>
      </c>
      <c r="P14" s="12">
        <v>4000</v>
      </c>
    </row>
    <row r="15" spans="1:16" x14ac:dyDescent="0.15">
      <c r="A15" s="12">
        <v>10</v>
      </c>
      <c r="B15" s="12">
        <v>1000</v>
      </c>
      <c r="C15" s="12">
        <v>1000</v>
      </c>
      <c r="D15" s="12">
        <v>1000</v>
      </c>
      <c r="E15" s="12">
        <v>1000</v>
      </c>
      <c r="F15" s="12">
        <v>1000</v>
      </c>
      <c r="G15" s="12">
        <v>200000</v>
      </c>
      <c r="H15" s="12">
        <f t="shared" si="0"/>
        <v>600000</v>
      </c>
      <c r="I15" s="12">
        <v>1000000</v>
      </c>
      <c r="J15" s="12">
        <v>5000000</v>
      </c>
      <c r="K15" s="12">
        <v>50000000</v>
      </c>
      <c r="L15" s="12">
        <v>360</v>
      </c>
      <c r="M15" s="12">
        <v>360</v>
      </c>
      <c r="N15" s="12">
        <v>720</v>
      </c>
      <c r="O15" s="12">
        <v>1400</v>
      </c>
      <c r="P15" s="12">
        <v>6000</v>
      </c>
    </row>
    <row r="16" spans="1:16" x14ac:dyDescent="0.15">
      <c r="A16" s="46">
        <v>11</v>
      </c>
      <c r="B16" s="46">
        <v>-1</v>
      </c>
      <c r="C16" s="46">
        <v>-1</v>
      </c>
      <c r="D16" s="46">
        <v>-1</v>
      </c>
      <c r="E16" s="46">
        <v>-1</v>
      </c>
      <c r="F16" s="46">
        <v>-1</v>
      </c>
      <c r="G16" s="46">
        <v>-1</v>
      </c>
      <c r="H16" s="46">
        <v>-1</v>
      </c>
      <c r="I16" s="46">
        <v>-1</v>
      </c>
      <c r="J16" s="46">
        <v>-1</v>
      </c>
      <c r="K16" s="46">
        <v>-1</v>
      </c>
      <c r="L16" s="46">
        <v>-1</v>
      </c>
      <c r="M16" s="46">
        <v>-1</v>
      </c>
      <c r="N16" s="46">
        <v>-1</v>
      </c>
      <c r="O16" s="46">
        <v>-1</v>
      </c>
      <c r="P16" s="46">
        <v>-1</v>
      </c>
    </row>
    <row r="19" spans="1:6" x14ac:dyDescent="0.15">
      <c r="B19" s="11" t="s">
        <v>1901</v>
      </c>
      <c r="C19" s="11" t="s">
        <v>1908</v>
      </c>
      <c r="D19" s="11" t="s">
        <v>1902</v>
      </c>
      <c r="E19" s="11" t="s">
        <v>1903</v>
      </c>
      <c r="F19" s="11" t="s">
        <v>1904</v>
      </c>
    </row>
    <row r="20" spans="1:6" x14ac:dyDescent="0.15">
      <c r="A20" t="s">
        <v>1909</v>
      </c>
      <c r="B20">
        <f>SUM(B5:B12)</f>
        <v>505</v>
      </c>
      <c r="C20" s="48">
        <f t="shared" ref="C20" si="1">SUM(C5:C12)</f>
        <v>505</v>
      </c>
      <c r="D20" s="48">
        <f>SUM(D5:D10)</f>
        <v>185</v>
      </c>
      <c r="E20" s="48">
        <f>SUM(E5:E8)</f>
        <v>55</v>
      </c>
      <c r="F20" s="48">
        <f>SUM(F5:F5)</f>
        <v>20</v>
      </c>
    </row>
    <row r="21" spans="1:6" x14ac:dyDescent="0.15">
      <c r="A21" t="s">
        <v>1910</v>
      </c>
      <c r="B21">
        <f>SUM(L5:L12)</f>
        <v>260</v>
      </c>
    </row>
  </sheetData>
  <mergeCells count="4">
    <mergeCell ref="A2:P2"/>
    <mergeCell ref="B3:F3"/>
    <mergeCell ref="G3:K3"/>
    <mergeCell ref="L3:P3"/>
  </mergeCells>
  <phoneticPr fontId="5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676"/>
  <sheetViews>
    <sheetView zoomScale="110" zoomScaleNormal="110" workbookViewId="0">
      <pane ySplit="1" topLeftCell="A487" activePane="bottomLeft" state="frozen"/>
      <selection pane="bottomLeft" activeCell="O497" sqref="O497"/>
    </sheetView>
  </sheetViews>
  <sheetFormatPr defaultRowHeight="13.5" x14ac:dyDescent="0.15"/>
  <cols>
    <col min="1" max="1" width="8" style="30" customWidth="1"/>
    <col min="2" max="2" width="17.5" style="30" customWidth="1"/>
    <col min="3" max="3" width="15.75" style="30" customWidth="1"/>
    <col min="4" max="4" width="11.125" style="70" customWidth="1"/>
    <col min="5" max="5" width="10.75" style="30" customWidth="1"/>
    <col min="6" max="6" width="15.75" style="30" customWidth="1"/>
    <col min="7" max="9" width="13.875" style="30" customWidth="1"/>
    <col min="10" max="11" width="10.75" style="41" customWidth="1"/>
    <col min="12" max="12" width="12" style="41" customWidth="1"/>
    <col min="13" max="13" width="10.75" style="41" customWidth="1"/>
    <col min="14" max="16384" width="9" style="30"/>
  </cols>
  <sheetData>
    <row r="1" spans="1:15" x14ac:dyDescent="0.15">
      <c r="A1" s="29" t="s">
        <v>1355</v>
      </c>
      <c r="B1" s="29" t="s">
        <v>1401</v>
      </c>
      <c r="C1" s="29" t="s">
        <v>1402</v>
      </c>
      <c r="D1" s="29" t="s">
        <v>2380</v>
      </c>
      <c r="E1" s="29" t="s">
        <v>1403</v>
      </c>
      <c r="F1" s="29" t="s">
        <v>1604</v>
      </c>
      <c r="G1" s="29" t="s">
        <v>1605</v>
      </c>
      <c r="H1" s="29" t="s">
        <v>1606</v>
      </c>
      <c r="I1" s="29" t="s">
        <v>1607</v>
      </c>
      <c r="J1" s="29" t="s">
        <v>1674</v>
      </c>
      <c r="K1" s="29" t="s">
        <v>1753</v>
      </c>
      <c r="L1" s="29" t="s">
        <v>1754</v>
      </c>
      <c r="M1" s="29" t="s">
        <v>1755</v>
      </c>
      <c r="N1" s="29" t="s">
        <v>2405</v>
      </c>
      <c r="O1" s="77" t="s">
        <v>2414</v>
      </c>
    </row>
    <row r="2" spans="1:15" x14ac:dyDescent="0.15">
      <c r="A2" s="31">
        <v>1239</v>
      </c>
      <c r="B2" s="31" t="s">
        <v>1398</v>
      </c>
      <c r="C2" s="31">
        <v>1239</v>
      </c>
      <c r="D2" s="15">
        <f>INDEX(卡牌图鉴!$S$2:$S$53,MATCH(monster!C2,卡牌图鉴!$C$2:$C$53,0))</f>
        <v>1</v>
      </c>
      <c r="E2" s="31">
        <v>0</v>
      </c>
      <c r="F2" s="15">
        <f>INT(INDEX(卡牌图鉴!$AB$2:$AB$53,MATCH(monster!C2,卡牌图鉴!$C$2:$C$57,0)) * INDEX(数值规划表!$B$61:$B$71,monster!E2+1) * 血量调整)</f>
        <v>470</v>
      </c>
      <c r="G2" s="15">
        <f>ROUND(INDEX(卡牌图鉴!$AB$2:$AB$53,MATCH(monster!C2,卡牌图鉴!$C$2:$C$57,0)) * INDEX(数值规划表!$D$61:$D$71,monster!E2+1)*血量调整,2)</f>
        <v>14.1</v>
      </c>
      <c r="H2" s="15">
        <f>ROUND(INDEX(卡牌图鉴!$AA$2:$AA$53,MATCH(monster!C2,卡牌图鉴!$C$2:$C$53,0)) * INDEX(数值规划表!$C$61:$C$71,monster!E2+1),2)</f>
        <v>30.51</v>
      </c>
      <c r="I2" s="15">
        <f>ROUND(INDEX(卡牌图鉴!$AA$2:$AA$53,MATCH(monster!C2,卡牌图鉴!$C$2:$C$53,0)) * INDEX(数值规划表!$E$61:$E$71,monster!E2+1),2)</f>
        <v>0.92</v>
      </c>
      <c r="J2" s="15">
        <f>INDEX(卡牌图鉴!$J$2:$J$53,MATCH(monster!C2,卡牌图鉴!$C$2:$C$53,0))</f>
        <v>1.2</v>
      </c>
      <c r="K2" s="15">
        <f>INDEX(卡牌图鉴!$S$2:$S$53,MATCH(monster!C2,卡牌图鉴!$C$2:$C$53,0))</f>
        <v>1</v>
      </c>
      <c r="L2" s="15">
        <f>INDEX(卡牌图鉴!$H$2:$H$53,MATCH(monster!C2,卡牌图鉴!$C$2:$C$53,0))</f>
        <v>1.4</v>
      </c>
      <c r="M2" s="15">
        <f>INDEX(卡牌图鉴!$L$2:$L$53,MATCH(monster!C2,卡牌图鉴!$C$2:$C$53,0))</f>
        <v>3</v>
      </c>
      <c r="N2" s="15">
        <f>INDEX(卡牌图鉴!$AD$2:$AD$53,MATCH(monster!C2,卡牌图鉴!$C$2:$C$53,0))</f>
        <v>8</v>
      </c>
      <c r="O2" s="78">
        <f>INDEX(卡牌图鉴!$K$2:$K$53,MATCH(monster!C2,卡牌图鉴!$C$2:$C$53,0))</f>
        <v>3</v>
      </c>
    </row>
    <row r="3" spans="1:15" x14ac:dyDescent="0.15">
      <c r="A3" s="31">
        <v>1240</v>
      </c>
      <c r="B3" s="31" t="s">
        <v>1404</v>
      </c>
      <c r="C3" s="31">
        <v>1239</v>
      </c>
      <c r="D3" s="15">
        <f>INDEX(卡牌图鉴!$S$2:$S$53,MATCH(monster!C3,卡牌图鉴!$C$2:$C$53,0))</f>
        <v>1</v>
      </c>
      <c r="E3" s="31">
        <v>1</v>
      </c>
      <c r="F3" s="15">
        <f>INT(INDEX(卡牌图鉴!$AB$2:$AB$53,MATCH(monster!C3,卡牌图鉴!$C$2:$C$57,0)) * INDEX(数值规划表!$B$61:$B$71,monster!E3+1) * 血量调整)</f>
        <v>526</v>
      </c>
      <c r="G3" s="15">
        <f>ROUND(INDEX(卡牌图鉴!$AB$2:$AB$53,MATCH(monster!C3,卡牌图鉴!$C$2:$C$57,0)) * INDEX(数值规划表!$D$61:$D$71,monster!E3+1)*血量调整,2)</f>
        <v>15.79</v>
      </c>
      <c r="H3" s="15">
        <f>ROUND(INDEX(卡牌图鉴!$AA$2:$AA$53,MATCH(monster!C3,卡牌图鉴!$C$2:$C$53,0)) * INDEX(数值规划表!$C$61:$C$71,monster!E3+1),2)</f>
        <v>34.17</v>
      </c>
      <c r="I3" s="15">
        <f>ROUND(INDEX(卡牌图鉴!$AA$2:$AA$53,MATCH(monster!C3,卡牌图鉴!$C$2:$C$53,0)) * INDEX(数值规划表!$E$61:$E$71,monster!E3+1),2)</f>
        <v>1.03</v>
      </c>
      <c r="J3" s="15">
        <f>INDEX(卡牌图鉴!$J$2:$J$53,MATCH(monster!C3,卡牌图鉴!$C$2:$C$53,0))</f>
        <v>1.2</v>
      </c>
      <c r="K3" s="15">
        <f>INDEX(卡牌图鉴!$S$2:$S$53,MATCH(monster!C3,卡牌图鉴!$C$2:$C$53,0))</f>
        <v>1</v>
      </c>
      <c r="L3" s="15">
        <f>INDEX(卡牌图鉴!$H$2:$H$53,MATCH(monster!C3,卡牌图鉴!$C$2:$C$53,0))</f>
        <v>1.4</v>
      </c>
      <c r="M3" s="15">
        <f>INDEX(卡牌图鉴!$L$2:$L$53,MATCH(monster!C3,卡牌图鉴!$C$2:$C$53,0))</f>
        <v>3</v>
      </c>
      <c r="N3" s="15">
        <f>INDEX(卡牌图鉴!$AD$2:$AD$53,MATCH(monster!C3,卡牌图鉴!$C$2:$C$53,0))</f>
        <v>8</v>
      </c>
      <c r="O3" s="78">
        <f>INDEX(卡牌图鉴!$K$2:$K$53,MATCH(monster!C3,卡牌图鉴!$C$2:$C$53,0))</f>
        <v>3</v>
      </c>
    </row>
    <row r="4" spans="1:15" x14ac:dyDescent="0.15">
      <c r="A4" s="31">
        <v>1241</v>
      </c>
      <c r="B4" s="31" t="s">
        <v>332</v>
      </c>
      <c r="C4" s="31">
        <v>1239</v>
      </c>
      <c r="D4" s="15">
        <f>INDEX(卡牌图鉴!$S$2:$S$53,MATCH(monster!C4,卡牌图鉴!$C$2:$C$53,0))</f>
        <v>1</v>
      </c>
      <c r="E4" s="31">
        <v>2</v>
      </c>
      <c r="F4" s="15">
        <f>INT(INDEX(卡牌图鉴!$AB$2:$AB$53,MATCH(monster!C4,卡牌图鉴!$C$2:$C$57,0)) * INDEX(数值规划表!$B$61:$B$71,monster!E4+1) * 血量调整)</f>
        <v>589</v>
      </c>
      <c r="G4" s="15">
        <f>ROUND(INDEX(卡牌图鉴!$AB$2:$AB$53,MATCH(monster!C4,卡牌图鉴!$C$2:$C$57,0)) * INDEX(数值规划表!$D$61:$D$71,monster!E4+1)*血量调整,2)</f>
        <v>17.690000000000001</v>
      </c>
      <c r="H4" s="15">
        <f>ROUND(INDEX(卡牌图鉴!$AA$2:$AA$53,MATCH(monster!C4,卡牌图鉴!$C$2:$C$53,0)) * INDEX(数值规划表!$C$61:$C$71,monster!E4+1),2)</f>
        <v>38.270000000000003</v>
      </c>
      <c r="I4" s="15">
        <f>ROUND(INDEX(卡牌图鉴!$AA$2:$AA$53,MATCH(monster!C4,卡牌图鉴!$C$2:$C$53,0)) * INDEX(数值规划表!$E$61:$E$71,monster!E4+1),2)</f>
        <v>1.1499999999999999</v>
      </c>
      <c r="J4" s="15">
        <f>INDEX(卡牌图鉴!$J$2:$J$53,MATCH(monster!C4,卡牌图鉴!$C$2:$C$53,0))</f>
        <v>1.2</v>
      </c>
      <c r="K4" s="15">
        <f>INDEX(卡牌图鉴!$S$2:$S$53,MATCH(monster!C4,卡牌图鉴!$C$2:$C$53,0))</f>
        <v>1</v>
      </c>
      <c r="L4" s="15">
        <f>INDEX(卡牌图鉴!$H$2:$H$53,MATCH(monster!C4,卡牌图鉴!$C$2:$C$53,0))</f>
        <v>1.4</v>
      </c>
      <c r="M4" s="15">
        <f>INDEX(卡牌图鉴!$L$2:$L$53,MATCH(monster!C4,卡牌图鉴!$C$2:$C$53,0))</f>
        <v>3</v>
      </c>
      <c r="N4" s="15">
        <f>INDEX(卡牌图鉴!$AD$2:$AD$53,MATCH(monster!C4,卡牌图鉴!$C$2:$C$53,0))</f>
        <v>8</v>
      </c>
      <c r="O4" s="78">
        <f>INDEX(卡牌图鉴!$K$2:$K$53,MATCH(monster!C4,卡牌图鉴!$C$2:$C$53,0))</f>
        <v>3</v>
      </c>
    </row>
    <row r="5" spans="1:15" x14ac:dyDescent="0.15">
      <c r="A5" s="31">
        <v>1242</v>
      </c>
      <c r="B5" s="31" t="s">
        <v>333</v>
      </c>
      <c r="C5" s="31">
        <v>1239</v>
      </c>
      <c r="D5" s="15">
        <f>INDEX(卡牌图鉴!$S$2:$S$53,MATCH(monster!C5,卡牌图鉴!$C$2:$C$53,0))</f>
        <v>1</v>
      </c>
      <c r="E5" s="31">
        <v>3</v>
      </c>
      <c r="F5" s="15">
        <f>INT(INDEX(卡牌图鉴!$AB$2:$AB$53,MATCH(monster!C5,卡牌图鉴!$C$2:$C$57,0)) * INDEX(数值规划表!$B$61:$B$71,monster!E5+1) * 血量调整)</f>
        <v>660</v>
      </c>
      <c r="G5" s="15">
        <f>ROUND(INDEX(卡牌图鉴!$AB$2:$AB$53,MATCH(monster!C5,卡牌图鉴!$C$2:$C$57,0)) * INDEX(数值规划表!$D$61:$D$71,monster!E5+1)*血量调整,2)</f>
        <v>19.809999999999999</v>
      </c>
      <c r="H5" s="15">
        <f>ROUND(INDEX(卡牌图鉴!$AA$2:$AA$53,MATCH(monster!C5,卡牌图鉴!$C$2:$C$53,0)) * INDEX(数值规划表!$C$61:$C$71,monster!E5+1),2)</f>
        <v>42.86</v>
      </c>
      <c r="I5" s="15">
        <f>ROUND(INDEX(卡牌图鉴!$AA$2:$AA$53,MATCH(monster!C5,卡牌图鉴!$C$2:$C$53,0)) * INDEX(数值规划表!$E$61:$E$71,monster!E5+1),2)</f>
        <v>1.29</v>
      </c>
      <c r="J5" s="15">
        <f>INDEX(卡牌图鉴!$J$2:$J$53,MATCH(monster!C5,卡牌图鉴!$C$2:$C$53,0))</f>
        <v>1.2</v>
      </c>
      <c r="K5" s="15">
        <f>INDEX(卡牌图鉴!$S$2:$S$53,MATCH(monster!C5,卡牌图鉴!$C$2:$C$53,0))</f>
        <v>1</v>
      </c>
      <c r="L5" s="15">
        <f>INDEX(卡牌图鉴!$H$2:$H$53,MATCH(monster!C5,卡牌图鉴!$C$2:$C$53,0))</f>
        <v>1.4</v>
      </c>
      <c r="M5" s="15">
        <f>INDEX(卡牌图鉴!$L$2:$L$53,MATCH(monster!C5,卡牌图鉴!$C$2:$C$53,0))</f>
        <v>3</v>
      </c>
      <c r="N5" s="15">
        <f>INDEX(卡牌图鉴!$AD$2:$AD$53,MATCH(monster!C5,卡牌图鉴!$C$2:$C$53,0))</f>
        <v>8</v>
      </c>
      <c r="O5" s="78">
        <f>INDEX(卡牌图鉴!$K$2:$K$53,MATCH(monster!C5,卡牌图鉴!$C$2:$C$53,0))</f>
        <v>3</v>
      </c>
    </row>
    <row r="6" spans="1:15" x14ac:dyDescent="0.15">
      <c r="A6" s="31">
        <v>1243</v>
      </c>
      <c r="B6" s="31" t="s">
        <v>334</v>
      </c>
      <c r="C6" s="31">
        <v>1239</v>
      </c>
      <c r="D6" s="15">
        <f>INDEX(卡牌图鉴!$S$2:$S$53,MATCH(monster!C6,卡牌图鉴!$C$2:$C$53,0))</f>
        <v>1</v>
      </c>
      <c r="E6" s="31">
        <v>4</v>
      </c>
      <c r="F6" s="15">
        <f>INT(INDEX(卡牌图鉴!$AB$2:$AB$53,MATCH(monster!C6,卡牌图鉴!$C$2:$C$57,0)) * INDEX(数值规划表!$B$61:$B$71,monster!E6+1) * 血量调整)</f>
        <v>739</v>
      </c>
      <c r="G6" s="15">
        <f>ROUND(INDEX(卡牌图鉴!$AB$2:$AB$53,MATCH(monster!C6,卡牌图鉴!$C$2:$C$57,0)) * INDEX(数值规划表!$D$61:$D$71,monster!E6+1)*血量调整,2)</f>
        <v>22.19</v>
      </c>
      <c r="H6" s="15">
        <f>ROUND(INDEX(卡牌图鉴!$AA$2:$AA$53,MATCH(monster!C6,卡牌图鉴!$C$2:$C$53,0)) * INDEX(数值规划表!$C$61:$C$71,monster!E6+1),2)</f>
        <v>48.01</v>
      </c>
      <c r="I6" s="15">
        <f>ROUND(INDEX(卡牌图鉴!$AA$2:$AA$53,MATCH(monster!C6,卡牌图鉴!$C$2:$C$53,0)) * INDEX(数值规划表!$E$61:$E$71,monster!E6+1),2)</f>
        <v>1.44</v>
      </c>
      <c r="J6" s="15">
        <f>INDEX(卡牌图鉴!$J$2:$J$53,MATCH(monster!C6,卡牌图鉴!$C$2:$C$53,0))</f>
        <v>1.2</v>
      </c>
      <c r="K6" s="15">
        <f>INDEX(卡牌图鉴!$S$2:$S$53,MATCH(monster!C6,卡牌图鉴!$C$2:$C$53,0))</f>
        <v>1</v>
      </c>
      <c r="L6" s="15">
        <f>INDEX(卡牌图鉴!$H$2:$H$53,MATCH(monster!C6,卡牌图鉴!$C$2:$C$53,0))</f>
        <v>1.4</v>
      </c>
      <c r="M6" s="15">
        <f>INDEX(卡牌图鉴!$L$2:$L$53,MATCH(monster!C6,卡牌图鉴!$C$2:$C$53,0))</f>
        <v>3</v>
      </c>
      <c r="N6" s="15">
        <f>INDEX(卡牌图鉴!$AD$2:$AD$53,MATCH(monster!C6,卡牌图鉴!$C$2:$C$53,0))</f>
        <v>8</v>
      </c>
      <c r="O6" s="78">
        <f>INDEX(卡牌图鉴!$K$2:$K$53,MATCH(monster!C6,卡牌图鉴!$C$2:$C$53,0))</f>
        <v>3</v>
      </c>
    </row>
    <row r="7" spans="1:15" x14ac:dyDescent="0.15">
      <c r="A7" s="31">
        <v>1244</v>
      </c>
      <c r="B7" s="31" t="s">
        <v>335</v>
      </c>
      <c r="C7" s="31">
        <v>1239</v>
      </c>
      <c r="D7" s="15">
        <f>INDEX(卡牌图鉴!$S$2:$S$53,MATCH(monster!C7,卡牌图鉴!$C$2:$C$53,0))</f>
        <v>1</v>
      </c>
      <c r="E7" s="31">
        <v>5</v>
      </c>
      <c r="F7" s="15">
        <f>INT(INDEX(卡牌图鉴!$AB$2:$AB$53,MATCH(monster!C7,卡牌图鉴!$C$2:$C$57,0)) * INDEX(数值规划表!$B$61:$B$71,monster!E7+1) * 血量调整)</f>
        <v>828</v>
      </c>
      <c r="G7" s="15">
        <f>ROUND(INDEX(卡牌图鉴!$AB$2:$AB$53,MATCH(monster!C7,卡牌图鉴!$C$2:$C$57,0)) * INDEX(数值规划表!$D$61:$D$71,monster!E7+1)*血量调整,2)</f>
        <v>24.85</v>
      </c>
      <c r="H7" s="15">
        <f>ROUND(INDEX(卡牌图鉴!$AA$2:$AA$53,MATCH(monster!C7,卡牌图鉴!$C$2:$C$53,0)) * INDEX(数值规划表!$C$61:$C$71,monster!E7+1),2)</f>
        <v>53.77</v>
      </c>
      <c r="I7" s="15">
        <f>ROUND(INDEX(卡牌图鉴!$AA$2:$AA$53,MATCH(monster!C7,卡牌图鉴!$C$2:$C$53,0)) * INDEX(数值规划表!$E$61:$E$71,monster!E7+1),2)</f>
        <v>1.61</v>
      </c>
      <c r="J7" s="15">
        <f>INDEX(卡牌图鉴!$J$2:$J$53,MATCH(monster!C7,卡牌图鉴!$C$2:$C$53,0))</f>
        <v>1.2</v>
      </c>
      <c r="K7" s="15">
        <f>INDEX(卡牌图鉴!$S$2:$S$53,MATCH(monster!C7,卡牌图鉴!$C$2:$C$53,0))</f>
        <v>1</v>
      </c>
      <c r="L7" s="15">
        <f>INDEX(卡牌图鉴!$H$2:$H$53,MATCH(monster!C7,卡牌图鉴!$C$2:$C$53,0))</f>
        <v>1.4</v>
      </c>
      <c r="M7" s="15">
        <f>INDEX(卡牌图鉴!$L$2:$L$53,MATCH(monster!C7,卡牌图鉴!$C$2:$C$53,0))</f>
        <v>3</v>
      </c>
      <c r="N7" s="15">
        <f>INDEX(卡牌图鉴!$AD$2:$AD$53,MATCH(monster!C7,卡牌图鉴!$C$2:$C$53,0))</f>
        <v>8</v>
      </c>
      <c r="O7" s="78">
        <f>INDEX(卡牌图鉴!$K$2:$K$53,MATCH(monster!C7,卡牌图鉴!$C$2:$C$53,0))</f>
        <v>3</v>
      </c>
    </row>
    <row r="8" spans="1:15" x14ac:dyDescent="0.15">
      <c r="A8" s="31">
        <v>1245</v>
      </c>
      <c r="B8" s="31" t="s">
        <v>336</v>
      </c>
      <c r="C8" s="31">
        <v>1239</v>
      </c>
      <c r="D8" s="15">
        <f>INDEX(卡牌图鉴!$S$2:$S$53,MATCH(monster!C8,卡牌图鉴!$C$2:$C$53,0))</f>
        <v>1</v>
      </c>
      <c r="E8" s="31">
        <v>6</v>
      </c>
      <c r="F8" s="15">
        <f>INT(INDEX(卡牌图鉴!$AB$2:$AB$53,MATCH(monster!C8,卡牌图鉴!$C$2:$C$57,0)) * INDEX(数值规划表!$B$61:$B$71,monster!E8+1) * 血量调整)</f>
        <v>927</v>
      </c>
      <c r="G8" s="15">
        <f>ROUND(INDEX(卡牌图鉴!$AB$2:$AB$53,MATCH(monster!C8,卡牌图鉴!$C$2:$C$57,0)) * INDEX(数值规划表!$D$61:$D$71,monster!E8+1)*血量调整,2)</f>
        <v>27.84</v>
      </c>
      <c r="H8" s="15">
        <f>ROUND(INDEX(卡牌图鉴!$AA$2:$AA$53,MATCH(monster!C8,卡牌图鉴!$C$2:$C$53,0)) * INDEX(数值规划表!$C$61:$C$71,monster!E8+1),2)</f>
        <v>60.22</v>
      </c>
      <c r="I8" s="15">
        <f>ROUND(INDEX(卡牌图鉴!$AA$2:$AA$53,MATCH(monster!C8,卡牌图鉴!$C$2:$C$53,0)) * INDEX(数值规划表!$E$61:$E$71,monster!E8+1),2)</f>
        <v>1.81</v>
      </c>
      <c r="J8" s="15">
        <f>INDEX(卡牌图鉴!$J$2:$J$53,MATCH(monster!C8,卡牌图鉴!$C$2:$C$53,0))</f>
        <v>1.2</v>
      </c>
      <c r="K8" s="15">
        <f>INDEX(卡牌图鉴!$S$2:$S$53,MATCH(monster!C8,卡牌图鉴!$C$2:$C$53,0))</f>
        <v>1</v>
      </c>
      <c r="L8" s="15">
        <f>INDEX(卡牌图鉴!$H$2:$H$53,MATCH(monster!C8,卡牌图鉴!$C$2:$C$53,0))</f>
        <v>1.4</v>
      </c>
      <c r="M8" s="15">
        <f>INDEX(卡牌图鉴!$L$2:$L$53,MATCH(monster!C8,卡牌图鉴!$C$2:$C$53,0))</f>
        <v>3</v>
      </c>
      <c r="N8" s="15">
        <f>INDEX(卡牌图鉴!$AD$2:$AD$53,MATCH(monster!C8,卡牌图鉴!$C$2:$C$53,0))</f>
        <v>8</v>
      </c>
      <c r="O8" s="78">
        <f>INDEX(卡牌图鉴!$K$2:$K$53,MATCH(monster!C8,卡牌图鉴!$C$2:$C$53,0))</f>
        <v>3</v>
      </c>
    </row>
    <row r="9" spans="1:15" x14ac:dyDescent="0.15">
      <c r="A9" s="31">
        <v>1246</v>
      </c>
      <c r="B9" s="31" t="s">
        <v>337</v>
      </c>
      <c r="C9" s="31">
        <v>1239</v>
      </c>
      <c r="D9" s="15">
        <f>INDEX(卡牌图鉴!$S$2:$S$53,MATCH(monster!C9,卡牌图鉴!$C$2:$C$53,0))</f>
        <v>1</v>
      </c>
      <c r="E9" s="31">
        <v>7</v>
      </c>
      <c r="F9" s="15">
        <f>INT(INDEX(卡牌图鉴!$AB$2:$AB$53,MATCH(monster!C9,卡牌图鉴!$C$2:$C$57,0)) * INDEX(数值规划表!$B$61:$B$71,monster!E9+1) * 血量调整)</f>
        <v>1039</v>
      </c>
      <c r="G9" s="15">
        <f>ROUND(INDEX(卡牌图鉴!$AB$2:$AB$53,MATCH(monster!C9,卡牌图鉴!$C$2:$C$57,0)) * INDEX(数值规划表!$D$61:$D$71,monster!E9+1)*血量调整,2)</f>
        <v>31.18</v>
      </c>
      <c r="H9" s="15">
        <f>ROUND(INDEX(卡牌图鉴!$AA$2:$AA$53,MATCH(monster!C9,卡牌图鉴!$C$2:$C$53,0)) * INDEX(数值规划表!$C$61:$C$71,monster!E9+1),2)</f>
        <v>67.45</v>
      </c>
      <c r="I9" s="15">
        <f>ROUND(INDEX(卡牌图鉴!$AA$2:$AA$53,MATCH(monster!C9,卡牌图鉴!$C$2:$C$53,0)) * INDEX(数值规划表!$E$61:$E$71,monster!E9+1),2)</f>
        <v>2.02</v>
      </c>
      <c r="J9" s="15">
        <f>INDEX(卡牌图鉴!$J$2:$J$53,MATCH(monster!C9,卡牌图鉴!$C$2:$C$53,0))</f>
        <v>1.2</v>
      </c>
      <c r="K9" s="15">
        <f>INDEX(卡牌图鉴!$S$2:$S$53,MATCH(monster!C9,卡牌图鉴!$C$2:$C$53,0))</f>
        <v>1</v>
      </c>
      <c r="L9" s="15">
        <f>INDEX(卡牌图鉴!$H$2:$H$53,MATCH(monster!C9,卡牌图鉴!$C$2:$C$53,0))</f>
        <v>1.4</v>
      </c>
      <c r="M9" s="15">
        <f>INDEX(卡牌图鉴!$L$2:$L$53,MATCH(monster!C9,卡牌图鉴!$C$2:$C$53,0))</f>
        <v>3</v>
      </c>
      <c r="N9" s="15">
        <f>INDEX(卡牌图鉴!$AD$2:$AD$53,MATCH(monster!C9,卡牌图鉴!$C$2:$C$53,0))</f>
        <v>8</v>
      </c>
      <c r="O9" s="78">
        <f>INDEX(卡牌图鉴!$K$2:$K$53,MATCH(monster!C9,卡牌图鉴!$C$2:$C$53,0))</f>
        <v>3</v>
      </c>
    </row>
    <row r="10" spans="1:15" x14ac:dyDescent="0.15">
      <c r="A10" s="31">
        <v>1247</v>
      </c>
      <c r="B10" s="31" t="s">
        <v>338</v>
      </c>
      <c r="C10" s="31">
        <v>1239</v>
      </c>
      <c r="D10" s="15">
        <f>INDEX(卡牌图鉴!$S$2:$S$53,MATCH(monster!C10,卡牌图鉴!$C$2:$C$53,0))</f>
        <v>1</v>
      </c>
      <c r="E10" s="31">
        <v>8</v>
      </c>
      <c r="F10" s="15">
        <f>INT(INDEX(卡牌图鉴!$AB$2:$AB$53,MATCH(monster!C10,卡牌图鉴!$C$2:$C$57,0)) * INDEX(数值规划表!$B$61:$B$71,monster!E10+1) * 血量调整)</f>
        <v>1163</v>
      </c>
      <c r="G10" s="15">
        <f>ROUND(INDEX(卡牌图鉴!$AB$2:$AB$53,MATCH(monster!C10,卡牌图鉴!$C$2:$C$57,0)) * INDEX(数值规划表!$D$61:$D$71,monster!E10+1)*血量调整,2)</f>
        <v>34.92</v>
      </c>
      <c r="H10" s="15">
        <f>ROUND(INDEX(卡牌图鉴!$AA$2:$AA$53,MATCH(monster!C10,卡牌图鉴!$C$2:$C$53,0)) * INDEX(数值规划表!$C$61:$C$71,monster!E10+1),2)</f>
        <v>75.540000000000006</v>
      </c>
      <c r="I10" s="15">
        <f>ROUND(INDEX(卡牌图鉴!$AA$2:$AA$53,MATCH(monster!C10,卡牌图鉴!$C$2:$C$53,0)) * INDEX(数值规划表!$E$61:$E$71,monster!E10+1),2)</f>
        <v>2.27</v>
      </c>
      <c r="J10" s="15">
        <f>INDEX(卡牌图鉴!$J$2:$J$53,MATCH(monster!C10,卡牌图鉴!$C$2:$C$53,0))</f>
        <v>1.2</v>
      </c>
      <c r="K10" s="15">
        <f>INDEX(卡牌图鉴!$S$2:$S$53,MATCH(monster!C10,卡牌图鉴!$C$2:$C$53,0))</f>
        <v>1</v>
      </c>
      <c r="L10" s="15">
        <f>INDEX(卡牌图鉴!$H$2:$H$53,MATCH(monster!C10,卡牌图鉴!$C$2:$C$53,0))</f>
        <v>1.4</v>
      </c>
      <c r="M10" s="15">
        <f>INDEX(卡牌图鉴!$L$2:$L$53,MATCH(monster!C10,卡牌图鉴!$C$2:$C$53,0))</f>
        <v>3</v>
      </c>
      <c r="N10" s="15">
        <f>INDEX(卡牌图鉴!$AD$2:$AD$53,MATCH(monster!C10,卡牌图鉴!$C$2:$C$53,0))</f>
        <v>8</v>
      </c>
      <c r="O10" s="78">
        <f>INDEX(卡牌图鉴!$K$2:$K$53,MATCH(monster!C10,卡牌图鉴!$C$2:$C$53,0))</f>
        <v>3</v>
      </c>
    </row>
    <row r="11" spans="1:15" x14ac:dyDescent="0.15">
      <c r="A11" s="31">
        <v>1248</v>
      </c>
      <c r="B11" s="31" t="s">
        <v>339</v>
      </c>
      <c r="C11" s="31">
        <v>1239</v>
      </c>
      <c r="D11" s="15">
        <f>INDEX(卡牌图鉴!$S$2:$S$53,MATCH(monster!C11,卡牌图鉴!$C$2:$C$53,0))</f>
        <v>1</v>
      </c>
      <c r="E11" s="31">
        <v>9</v>
      </c>
      <c r="F11" s="15">
        <f>INT(INDEX(卡牌图鉴!$AB$2:$AB$53,MATCH(monster!C11,卡牌图鉴!$C$2:$C$57,0)) * INDEX(数值规划表!$B$61:$B$71,monster!E11+1) * 血量调整)</f>
        <v>1303</v>
      </c>
      <c r="G11" s="15">
        <f>ROUND(INDEX(卡牌图鉴!$AB$2:$AB$53,MATCH(monster!C11,卡牌图鉴!$C$2:$C$57,0)) * INDEX(数值规划表!$D$61:$D$71,monster!E11+1)*血量调整,2)</f>
        <v>39.11</v>
      </c>
      <c r="H11" s="15">
        <f>ROUND(INDEX(卡牌图鉴!$AA$2:$AA$53,MATCH(monster!C11,卡牌图鉴!$C$2:$C$53,0)) * INDEX(数值规划表!$C$61:$C$71,monster!E11+1),2)</f>
        <v>84.61</v>
      </c>
      <c r="I11" s="15">
        <f>ROUND(INDEX(卡牌图鉴!$AA$2:$AA$53,MATCH(monster!C11,卡牌图鉴!$C$2:$C$53,0)) * INDEX(数值规划表!$E$61:$E$71,monster!E11+1),2)</f>
        <v>2.54</v>
      </c>
      <c r="J11" s="15">
        <f>INDEX(卡牌图鉴!$J$2:$J$53,MATCH(monster!C11,卡牌图鉴!$C$2:$C$53,0))</f>
        <v>1.2</v>
      </c>
      <c r="K11" s="15">
        <f>INDEX(卡牌图鉴!$S$2:$S$53,MATCH(monster!C11,卡牌图鉴!$C$2:$C$53,0))</f>
        <v>1</v>
      </c>
      <c r="L11" s="15">
        <f>INDEX(卡牌图鉴!$H$2:$H$53,MATCH(monster!C11,卡牌图鉴!$C$2:$C$53,0))</f>
        <v>1.4</v>
      </c>
      <c r="M11" s="15">
        <f>INDEX(卡牌图鉴!$L$2:$L$53,MATCH(monster!C11,卡牌图鉴!$C$2:$C$53,0))</f>
        <v>3</v>
      </c>
      <c r="N11" s="15">
        <f>INDEX(卡牌图鉴!$AD$2:$AD$53,MATCH(monster!C11,卡牌图鉴!$C$2:$C$53,0))</f>
        <v>8</v>
      </c>
      <c r="O11" s="78">
        <f>INDEX(卡牌图鉴!$K$2:$K$53,MATCH(monster!C11,卡牌图鉴!$C$2:$C$53,0))</f>
        <v>3</v>
      </c>
    </row>
    <row r="12" spans="1:15" x14ac:dyDescent="0.15">
      <c r="A12" s="31">
        <v>1249</v>
      </c>
      <c r="B12" s="31" t="s">
        <v>340</v>
      </c>
      <c r="C12" s="31">
        <v>1239</v>
      </c>
      <c r="D12" s="15">
        <f>INDEX(卡牌图鉴!$S$2:$S$53,MATCH(monster!C12,卡牌图鉴!$C$2:$C$53,0))</f>
        <v>1</v>
      </c>
      <c r="E12" s="31">
        <v>10</v>
      </c>
      <c r="F12" s="15">
        <f>INT(INDEX(卡牌图鉴!$AB$2:$AB$53,MATCH(monster!C12,卡牌图鉴!$C$2:$C$57,0)) * INDEX(数值规划表!$B$61:$B$71,monster!E12+1) * 血量调整)</f>
        <v>1459</v>
      </c>
      <c r="G12" s="15">
        <f>ROUND(INDEX(卡牌图鉴!$AB$2:$AB$53,MATCH(monster!C12,卡牌图鉴!$C$2:$C$57,0)) * INDEX(数值规划表!$D$61:$D$71,monster!E12+1)*血量调整,2)</f>
        <v>43.8</v>
      </c>
      <c r="H12" s="15">
        <f>ROUND(INDEX(卡牌图鉴!$AA$2:$AA$53,MATCH(monster!C12,卡牌图鉴!$C$2:$C$53,0)) * INDEX(数值规划表!$C$61:$C$71,monster!E12+1),2)</f>
        <v>94.76</v>
      </c>
      <c r="I12" s="15">
        <f>ROUND(INDEX(卡牌图鉴!$AA$2:$AA$53,MATCH(monster!C12,卡牌图鉴!$C$2:$C$53,0)) * INDEX(数值规划表!$E$61:$E$71,monster!E12+1),2)</f>
        <v>2.84</v>
      </c>
      <c r="J12" s="15">
        <f>INDEX(卡牌图鉴!$J$2:$J$53,MATCH(monster!C12,卡牌图鉴!$C$2:$C$53,0))</f>
        <v>1.2</v>
      </c>
      <c r="K12" s="15">
        <f>INDEX(卡牌图鉴!$S$2:$S$53,MATCH(monster!C12,卡牌图鉴!$C$2:$C$53,0))</f>
        <v>1</v>
      </c>
      <c r="L12" s="15">
        <f>INDEX(卡牌图鉴!$H$2:$H$53,MATCH(monster!C12,卡牌图鉴!$C$2:$C$53,0))</f>
        <v>1.4</v>
      </c>
      <c r="M12" s="15">
        <f>INDEX(卡牌图鉴!$L$2:$L$53,MATCH(monster!C12,卡牌图鉴!$C$2:$C$53,0))</f>
        <v>3</v>
      </c>
      <c r="N12" s="15">
        <f>INDEX(卡牌图鉴!$AD$2:$AD$53,MATCH(monster!C12,卡牌图鉴!$C$2:$C$53,0))</f>
        <v>8</v>
      </c>
      <c r="O12" s="78">
        <f>INDEX(卡牌图鉴!$K$2:$K$53,MATCH(monster!C12,卡牌图鉴!$C$2:$C$53,0))</f>
        <v>3</v>
      </c>
    </row>
    <row r="13" spans="1:15" x14ac:dyDescent="0.15">
      <c r="A13" s="31">
        <v>1316</v>
      </c>
      <c r="B13" s="31" t="s">
        <v>1405</v>
      </c>
      <c r="C13" s="31">
        <v>1316</v>
      </c>
      <c r="D13" s="15">
        <f>INDEX(卡牌图鉴!$S$2:$S$53,MATCH(monster!C13,卡牌图鉴!$C$2:$C$53,0))</f>
        <v>3</v>
      </c>
      <c r="E13" s="31">
        <v>0</v>
      </c>
      <c r="F13" s="15">
        <f>INT(INDEX(卡牌图鉴!$AB$2:$AB$53,MATCH(monster!C13,卡牌图鉴!$C$2:$C$57,0)) * INDEX(数值规划表!$B$61:$B$71,monster!E13+1) * 血量调整)</f>
        <v>482</v>
      </c>
      <c r="G13" s="15">
        <f>ROUND(INDEX(卡牌图鉴!$AB$2:$AB$53,MATCH(monster!C13,卡牌图鉴!$C$2:$C$57,0)) * INDEX(数值规划表!$D$61:$D$71,monster!E13+1)*血量调整,2)</f>
        <v>14.48</v>
      </c>
      <c r="H13" s="15">
        <f>ROUND(INDEX(卡牌图鉴!$AA$2:$AA$53,MATCH(monster!C13,卡牌图鉴!$C$2:$C$53,0)) * INDEX(数值规划表!$C$61:$C$71,monster!E13+1),2)</f>
        <v>30.1</v>
      </c>
      <c r="I13" s="15">
        <f>ROUND(INDEX(卡牌图鉴!$AA$2:$AA$53,MATCH(monster!C13,卡牌图鉴!$C$2:$C$53,0)) * INDEX(数值规划表!$E$61:$E$71,monster!E13+1),2)</f>
        <v>0.9</v>
      </c>
      <c r="J13" s="15">
        <f>INDEX(卡牌图鉴!$J$2:$J$53,MATCH(monster!C13,卡牌图鉴!$C$2:$C$53,0))</f>
        <v>1.2</v>
      </c>
      <c r="K13" s="15">
        <f>INDEX(卡牌图鉴!$S$2:$S$53,MATCH(monster!C13,卡牌图鉴!$C$2:$C$53,0))</f>
        <v>3</v>
      </c>
      <c r="L13" s="15">
        <f>INDEX(卡牌图鉴!$H$2:$H$53,MATCH(monster!C13,卡牌图鉴!$C$2:$C$53,0))</f>
        <v>1.4</v>
      </c>
      <c r="M13" s="15">
        <f>INDEX(卡牌图鉴!$L$2:$L$53,MATCH(monster!C13,卡牌图鉴!$C$2:$C$53,0))</f>
        <v>4</v>
      </c>
      <c r="N13" s="15">
        <f>INDEX(卡牌图鉴!$AD$2:$AD$53,MATCH(monster!C13,卡牌图鉴!$C$2:$C$53,0))</f>
        <v>8</v>
      </c>
      <c r="O13" s="78">
        <f>INDEX(卡牌图鉴!$K$2:$K$53,MATCH(monster!C13,卡牌图鉴!$C$2:$C$53,0))</f>
        <v>4</v>
      </c>
    </row>
    <row r="14" spans="1:15" x14ac:dyDescent="0.15">
      <c r="A14" s="31">
        <v>1317</v>
      </c>
      <c r="B14" s="31" t="s">
        <v>1406</v>
      </c>
      <c r="C14" s="31">
        <v>1316</v>
      </c>
      <c r="D14" s="15">
        <f>INDEX(卡牌图鉴!$S$2:$S$53,MATCH(monster!C14,卡牌图鉴!$C$2:$C$53,0))</f>
        <v>3</v>
      </c>
      <c r="E14" s="31">
        <v>1</v>
      </c>
      <c r="F14" s="15">
        <f>INT(INDEX(卡牌图鉴!$AB$2:$AB$53,MATCH(monster!C14,卡牌图鉴!$C$2:$C$57,0)) * INDEX(数值规划表!$B$61:$B$71,monster!E14+1) * 血量调整)</f>
        <v>540</v>
      </c>
      <c r="G14" s="15">
        <f>ROUND(INDEX(卡牌图鉴!$AB$2:$AB$53,MATCH(monster!C14,卡牌图鉴!$C$2:$C$57,0)) * INDEX(数值规划表!$D$61:$D$71,monster!E14+1)*血量调整,2)</f>
        <v>16.22</v>
      </c>
      <c r="H14" s="15">
        <f>ROUND(INDEX(卡牌图鉴!$AA$2:$AA$53,MATCH(monster!C14,卡牌图鉴!$C$2:$C$53,0)) * INDEX(数值规划表!$C$61:$C$71,monster!E14+1),2)</f>
        <v>33.71</v>
      </c>
      <c r="I14" s="15">
        <f>ROUND(INDEX(卡牌图鉴!$AA$2:$AA$53,MATCH(monster!C14,卡牌图鉴!$C$2:$C$53,0)) * INDEX(数值规划表!$E$61:$E$71,monster!E14+1),2)</f>
        <v>1.01</v>
      </c>
      <c r="J14" s="15">
        <f>INDEX(卡牌图鉴!$J$2:$J$53,MATCH(monster!C14,卡牌图鉴!$C$2:$C$53,0))</f>
        <v>1.2</v>
      </c>
      <c r="K14" s="15">
        <f>INDEX(卡牌图鉴!$S$2:$S$53,MATCH(monster!C14,卡牌图鉴!$C$2:$C$53,0))</f>
        <v>3</v>
      </c>
      <c r="L14" s="15">
        <f>INDEX(卡牌图鉴!$H$2:$H$53,MATCH(monster!C14,卡牌图鉴!$C$2:$C$53,0))</f>
        <v>1.4</v>
      </c>
      <c r="M14" s="15">
        <f>INDEX(卡牌图鉴!$L$2:$L$53,MATCH(monster!C14,卡牌图鉴!$C$2:$C$53,0))</f>
        <v>4</v>
      </c>
      <c r="N14" s="15">
        <f>INDEX(卡牌图鉴!$AD$2:$AD$53,MATCH(monster!C14,卡牌图鉴!$C$2:$C$53,0))</f>
        <v>8</v>
      </c>
      <c r="O14" s="78">
        <f>INDEX(卡牌图鉴!$K$2:$K$53,MATCH(monster!C14,卡牌图鉴!$C$2:$C$53,0))</f>
        <v>4</v>
      </c>
    </row>
    <row r="15" spans="1:15" x14ac:dyDescent="0.15">
      <c r="A15" s="31">
        <v>1318</v>
      </c>
      <c r="B15" s="31" t="s">
        <v>1406</v>
      </c>
      <c r="C15" s="31">
        <v>1316</v>
      </c>
      <c r="D15" s="15">
        <f>INDEX(卡牌图鉴!$S$2:$S$53,MATCH(monster!C15,卡牌图鉴!$C$2:$C$53,0))</f>
        <v>3</v>
      </c>
      <c r="E15" s="31">
        <v>2</v>
      </c>
      <c r="F15" s="15">
        <f>INT(INDEX(卡牌图鉴!$AB$2:$AB$53,MATCH(monster!C15,卡牌图鉴!$C$2:$C$57,0)) * INDEX(数值规划表!$B$61:$B$71,monster!E15+1) * 血量调整)</f>
        <v>605</v>
      </c>
      <c r="G15" s="15">
        <f>ROUND(INDEX(卡牌图鉴!$AB$2:$AB$53,MATCH(monster!C15,卡牌图鉴!$C$2:$C$57,0)) * INDEX(数值规划表!$D$61:$D$71,monster!E15+1)*血量调整,2)</f>
        <v>18.16</v>
      </c>
      <c r="H15" s="15">
        <f>ROUND(INDEX(卡牌图鉴!$AA$2:$AA$53,MATCH(monster!C15,卡牌图鉴!$C$2:$C$53,0)) * INDEX(数值规划表!$C$61:$C$71,monster!E15+1),2)</f>
        <v>37.76</v>
      </c>
      <c r="I15" s="15">
        <f>ROUND(INDEX(卡牌图鉴!$AA$2:$AA$53,MATCH(monster!C15,卡牌图鉴!$C$2:$C$53,0)) * INDEX(数值规划表!$E$61:$E$71,monster!E15+1),2)</f>
        <v>1.1299999999999999</v>
      </c>
      <c r="J15" s="15">
        <f>INDEX(卡牌图鉴!$J$2:$J$53,MATCH(monster!C15,卡牌图鉴!$C$2:$C$53,0))</f>
        <v>1.2</v>
      </c>
      <c r="K15" s="15">
        <f>INDEX(卡牌图鉴!$S$2:$S$53,MATCH(monster!C15,卡牌图鉴!$C$2:$C$53,0))</f>
        <v>3</v>
      </c>
      <c r="L15" s="15">
        <f>INDEX(卡牌图鉴!$H$2:$H$53,MATCH(monster!C15,卡牌图鉴!$C$2:$C$53,0))</f>
        <v>1.4</v>
      </c>
      <c r="M15" s="15">
        <f>INDEX(卡牌图鉴!$L$2:$L$53,MATCH(monster!C15,卡牌图鉴!$C$2:$C$53,0))</f>
        <v>4</v>
      </c>
      <c r="N15" s="15">
        <f>INDEX(卡牌图鉴!$AD$2:$AD$53,MATCH(monster!C15,卡牌图鉴!$C$2:$C$53,0))</f>
        <v>8</v>
      </c>
      <c r="O15" s="78">
        <f>INDEX(卡牌图鉴!$K$2:$K$53,MATCH(monster!C15,卡牌图鉴!$C$2:$C$53,0))</f>
        <v>4</v>
      </c>
    </row>
    <row r="16" spans="1:15" x14ac:dyDescent="0.15">
      <c r="A16" s="31">
        <v>1319</v>
      </c>
      <c r="B16" s="31" t="s">
        <v>386</v>
      </c>
      <c r="C16" s="31">
        <v>1316</v>
      </c>
      <c r="D16" s="15">
        <f>INDEX(卡牌图鉴!$S$2:$S$53,MATCH(monster!C16,卡牌图鉴!$C$2:$C$53,0))</f>
        <v>3</v>
      </c>
      <c r="E16" s="31">
        <v>3</v>
      </c>
      <c r="F16" s="15">
        <f>INT(INDEX(卡牌图鉴!$AB$2:$AB$53,MATCH(monster!C16,卡牌图鉴!$C$2:$C$57,0)) * INDEX(数值规划表!$B$61:$B$71,monster!E16+1) * 血量调整)</f>
        <v>678</v>
      </c>
      <c r="G16" s="15">
        <f>ROUND(INDEX(卡牌图鉴!$AB$2:$AB$53,MATCH(monster!C16,卡牌图鉴!$C$2:$C$57,0)) * INDEX(数值规划表!$D$61:$D$71,monster!E16+1)*血量调整,2)</f>
        <v>20.34</v>
      </c>
      <c r="H16" s="15">
        <f>ROUND(INDEX(卡牌图鉴!$AA$2:$AA$53,MATCH(monster!C16,卡牌图鉴!$C$2:$C$53,0)) * INDEX(数值规划表!$C$61:$C$71,monster!E16+1),2)</f>
        <v>42.29</v>
      </c>
      <c r="I16" s="15">
        <f>ROUND(INDEX(卡牌图鉴!$AA$2:$AA$53,MATCH(monster!C16,卡牌图鉴!$C$2:$C$53,0)) * INDEX(数值规划表!$E$61:$E$71,monster!E16+1),2)</f>
        <v>1.27</v>
      </c>
      <c r="J16" s="15">
        <f>INDEX(卡牌图鉴!$J$2:$J$53,MATCH(monster!C16,卡牌图鉴!$C$2:$C$53,0))</f>
        <v>1.2</v>
      </c>
      <c r="K16" s="15">
        <f>INDEX(卡牌图鉴!$S$2:$S$53,MATCH(monster!C16,卡牌图鉴!$C$2:$C$53,0))</f>
        <v>3</v>
      </c>
      <c r="L16" s="15">
        <f>INDEX(卡牌图鉴!$H$2:$H$53,MATCH(monster!C16,卡牌图鉴!$C$2:$C$53,0))</f>
        <v>1.4</v>
      </c>
      <c r="M16" s="15">
        <f>INDEX(卡牌图鉴!$L$2:$L$53,MATCH(monster!C16,卡牌图鉴!$C$2:$C$53,0))</f>
        <v>4</v>
      </c>
      <c r="N16" s="15">
        <f>INDEX(卡牌图鉴!$AD$2:$AD$53,MATCH(monster!C16,卡牌图鉴!$C$2:$C$53,0))</f>
        <v>8</v>
      </c>
      <c r="O16" s="78">
        <f>INDEX(卡牌图鉴!$K$2:$K$53,MATCH(monster!C16,卡牌图鉴!$C$2:$C$53,0))</f>
        <v>4</v>
      </c>
    </row>
    <row r="17" spans="1:15" x14ac:dyDescent="0.15">
      <c r="A17" s="31">
        <v>1320</v>
      </c>
      <c r="B17" s="31" t="s">
        <v>387</v>
      </c>
      <c r="C17" s="31">
        <v>1316</v>
      </c>
      <c r="D17" s="15">
        <f>INDEX(卡牌图鉴!$S$2:$S$53,MATCH(monster!C17,卡牌图鉴!$C$2:$C$53,0))</f>
        <v>3</v>
      </c>
      <c r="E17" s="31">
        <v>4</v>
      </c>
      <c r="F17" s="15">
        <f>INT(INDEX(卡牌图鉴!$AB$2:$AB$53,MATCH(monster!C17,卡牌图鉴!$C$2:$C$57,0)) * INDEX(数值规划表!$B$61:$B$71,monster!E17+1) * 血量调整)</f>
        <v>759</v>
      </c>
      <c r="G17" s="15">
        <f>ROUND(INDEX(卡牌图鉴!$AB$2:$AB$53,MATCH(monster!C17,卡牌图鉴!$C$2:$C$57,0)) * INDEX(数值规划表!$D$61:$D$71,monster!E17+1)*血量调整,2)</f>
        <v>22.78</v>
      </c>
      <c r="H17" s="15">
        <f>ROUND(INDEX(卡牌图鉴!$AA$2:$AA$53,MATCH(monster!C17,卡牌图鉴!$C$2:$C$53,0)) * INDEX(数值规划表!$C$61:$C$71,monster!E17+1),2)</f>
        <v>47.36</v>
      </c>
      <c r="I17" s="15">
        <f>ROUND(INDEX(卡牌图鉴!$AA$2:$AA$53,MATCH(monster!C17,卡牌图鉴!$C$2:$C$53,0)) * INDEX(数值规划表!$E$61:$E$71,monster!E17+1),2)</f>
        <v>1.42</v>
      </c>
      <c r="J17" s="15">
        <f>INDEX(卡牌图鉴!$J$2:$J$53,MATCH(monster!C17,卡牌图鉴!$C$2:$C$53,0))</f>
        <v>1.2</v>
      </c>
      <c r="K17" s="15">
        <f>INDEX(卡牌图鉴!$S$2:$S$53,MATCH(monster!C17,卡牌图鉴!$C$2:$C$53,0))</f>
        <v>3</v>
      </c>
      <c r="L17" s="15">
        <f>INDEX(卡牌图鉴!$H$2:$H$53,MATCH(monster!C17,卡牌图鉴!$C$2:$C$53,0))</f>
        <v>1.4</v>
      </c>
      <c r="M17" s="15">
        <f>INDEX(卡牌图鉴!$L$2:$L$53,MATCH(monster!C17,卡牌图鉴!$C$2:$C$53,0))</f>
        <v>4</v>
      </c>
      <c r="N17" s="15">
        <f>INDEX(卡牌图鉴!$AD$2:$AD$53,MATCH(monster!C17,卡牌图鉴!$C$2:$C$53,0))</f>
        <v>8</v>
      </c>
      <c r="O17" s="78">
        <f>INDEX(卡牌图鉴!$K$2:$K$53,MATCH(monster!C17,卡牌图鉴!$C$2:$C$53,0))</f>
        <v>4</v>
      </c>
    </row>
    <row r="18" spans="1:15" x14ac:dyDescent="0.15">
      <c r="A18" s="31">
        <v>1321</v>
      </c>
      <c r="B18" s="31" t="s">
        <v>388</v>
      </c>
      <c r="C18" s="31">
        <v>1316</v>
      </c>
      <c r="D18" s="15">
        <f>INDEX(卡牌图鉴!$S$2:$S$53,MATCH(monster!C18,卡牌图鉴!$C$2:$C$53,0))</f>
        <v>3</v>
      </c>
      <c r="E18" s="31">
        <v>5</v>
      </c>
      <c r="F18" s="15">
        <f>INT(INDEX(卡牌图鉴!$AB$2:$AB$53,MATCH(monster!C18,卡牌图鉴!$C$2:$C$57,0)) * INDEX(数值规划表!$B$61:$B$71,monster!E18+1) * 血量调整)</f>
        <v>850</v>
      </c>
      <c r="G18" s="15">
        <f>ROUND(INDEX(卡牌图鉴!$AB$2:$AB$53,MATCH(monster!C18,卡牌图鉴!$C$2:$C$57,0)) * INDEX(数值规划表!$D$61:$D$71,monster!E18+1)*血量调整,2)</f>
        <v>25.52</v>
      </c>
      <c r="H18" s="15">
        <f>ROUND(INDEX(卡牌图鉴!$AA$2:$AA$53,MATCH(monster!C18,卡牌图鉴!$C$2:$C$53,0)) * INDEX(数值规划表!$C$61:$C$71,monster!E18+1),2)</f>
        <v>53.05</v>
      </c>
      <c r="I18" s="15">
        <f>ROUND(INDEX(卡牌图鉴!$AA$2:$AA$53,MATCH(monster!C18,卡牌图鉴!$C$2:$C$53,0)) * INDEX(数值规划表!$E$61:$E$71,monster!E18+1),2)</f>
        <v>1.59</v>
      </c>
      <c r="J18" s="15">
        <f>INDEX(卡牌图鉴!$J$2:$J$53,MATCH(monster!C18,卡牌图鉴!$C$2:$C$53,0))</f>
        <v>1.2</v>
      </c>
      <c r="K18" s="15">
        <f>INDEX(卡牌图鉴!$S$2:$S$53,MATCH(monster!C18,卡牌图鉴!$C$2:$C$53,0))</f>
        <v>3</v>
      </c>
      <c r="L18" s="15">
        <f>INDEX(卡牌图鉴!$H$2:$H$53,MATCH(monster!C18,卡牌图鉴!$C$2:$C$53,0))</f>
        <v>1.4</v>
      </c>
      <c r="M18" s="15">
        <f>INDEX(卡牌图鉴!$L$2:$L$53,MATCH(monster!C18,卡牌图鉴!$C$2:$C$53,0))</f>
        <v>4</v>
      </c>
      <c r="N18" s="15">
        <f>INDEX(卡牌图鉴!$AD$2:$AD$53,MATCH(monster!C18,卡牌图鉴!$C$2:$C$53,0))</f>
        <v>8</v>
      </c>
      <c r="O18" s="78">
        <f>INDEX(卡牌图鉴!$K$2:$K$53,MATCH(monster!C18,卡牌图鉴!$C$2:$C$53,0))</f>
        <v>4</v>
      </c>
    </row>
    <row r="19" spans="1:15" x14ac:dyDescent="0.15">
      <c r="A19" s="31">
        <v>1322</v>
      </c>
      <c r="B19" s="31" t="s">
        <v>389</v>
      </c>
      <c r="C19" s="31">
        <v>1316</v>
      </c>
      <c r="D19" s="15">
        <f>INDEX(卡牌图鉴!$S$2:$S$53,MATCH(monster!C19,卡牌图鉴!$C$2:$C$53,0))</f>
        <v>3</v>
      </c>
      <c r="E19" s="31">
        <v>6</v>
      </c>
      <c r="F19" s="15">
        <f>INT(INDEX(卡牌图鉴!$AB$2:$AB$53,MATCH(monster!C19,卡牌图鉴!$C$2:$C$57,0)) * INDEX(数值规划表!$B$61:$B$71,monster!E19+1) * 血量调整)</f>
        <v>952</v>
      </c>
      <c r="G19" s="15">
        <f>ROUND(INDEX(卡牌图鉴!$AB$2:$AB$53,MATCH(monster!C19,卡牌图鉴!$C$2:$C$57,0)) * INDEX(数值规划表!$D$61:$D$71,monster!E19+1)*血量调整,2)</f>
        <v>28.58</v>
      </c>
      <c r="H19" s="15">
        <f>ROUND(INDEX(卡牌图鉴!$AA$2:$AA$53,MATCH(monster!C19,卡牌图鉴!$C$2:$C$53,0)) * INDEX(数值规划表!$C$61:$C$71,monster!E19+1),2)</f>
        <v>59.41</v>
      </c>
      <c r="I19" s="15">
        <f>ROUND(INDEX(卡牌图鉴!$AA$2:$AA$53,MATCH(monster!C19,卡牌图鉴!$C$2:$C$53,0)) * INDEX(数值规划表!$E$61:$E$71,monster!E19+1),2)</f>
        <v>1.78</v>
      </c>
      <c r="J19" s="15">
        <f>INDEX(卡牌图鉴!$J$2:$J$53,MATCH(monster!C19,卡牌图鉴!$C$2:$C$53,0))</f>
        <v>1.2</v>
      </c>
      <c r="K19" s="15">
        <f>INDEX(卡牌图鉴!$S$2:$S$53,MATCH(monster!C19,卡牌图鉴!$C$2:$C$53,0))</f>
        <v>3</v>
      </c>
      <c r="L19" s="15">
        <f>INDEX(卡牌图鉴!$H$2:$H$53,MATCH(monster!C19,卡牌图鉴!$C$2:$C$53,0))</f>
        <v>1.4</v>
      </c>
      <c r="M19" s="15">
        <f>INDEX(卡牌图鉴!$L$2:$L$53,MATCH(monster!C19,卡牌图鉴!$C$2:$C$53,0))</f>
        <v>4</v>
      </c>
      <c r="N19" s="15">
        <f>INDEX(卡牌图鉴!$AD$2:$AD$53,MATCH(monster!C19,卡牌图鉴!$C$2:$C$53,0))</f>
        <v>8</v>
      </c>
      <c r="O19" s="78">
        <f>INDEX(卡牌图鉴!$K$2:$K$53,MATCH(monster!C19,卡牌图鉴!$C$2:$C$53,0))</f>
        <v>4</v>
      </c>
    </row>
    <row r="20" spans="1:15" x14ac:dyDescent="0.15">
      <c r="A20" s="31">
        <v>1323</v>
      </c>
      <c r="B20" s="31" t="s">
        <v>390</v>
      </c>
      <c r="C20" s="31">
        <v>1316</v>
      </c>
      <c r="D20" s="15">
        <f>INDEX(卡牌图鉴!$S$2:$S$53,MATCH(monster!C20,卡牌图鉴!$C$2:$C$53,0))</f>
        <v>3</v>
      </c>
      <c r="E20" s="31">
        <v>7</v>
      </c>
      <c r="F20" s="15">
        <f>INT(INDEX(卡牌图鉴!$AB$2:$AB$53,MATCH(monster!C20,卡牌图鉴!$C$2:$C$57,0)) * INDEX(数值规划表!$B$61:$B$71,monster!E20+1) * 血量调整)</f>
        <v>1066</v>
      </c>
      <c r="G20" s="15">
        <f>ROUND(INDEX(卡牌图鉴!$AB$2:$AB$53,MATCH(monster!C20,卡牌图鉴!$C$2:$C$57,0)) * INDEX(数值规划表!$D$61:$D$71,monster!E20+1)*血量调整,2)</f>
        <v>32.01</v>
      </c>
      <c r="H20" s="15">
        <f>ROUND(INDEX(卡牌图鉴!$AA$2:$AA$53,MATCH(monster!C20,卡牌图鉴!$C$2:$C$53,0)) * INDEX(数值规划表!$C$61:$C$71,monster!E20+1),2)</f>
        <v>66.540000000000006</v>
      </c>
      <c r="I20" s="15">
        <f>ROUND(INDEX(卡牌图鉴!$AA$2:$AA$53,MATCH(monster!C20,卡牌图鉴!$C$2:$C$53,0)) * INDEX(数值规划表!$E$61:$E$71,monster!E20+1),2)</f>
        <v>2</v>
      </c>
      <c r="J20" s="15">
        <f>INDEX(卡牌图鉴!$J$2:$J$53,MATCH(monster!C20,卡牌图鉴!$C$2:$C$53,0))</f>
        <v>1.2</v>
      </c>
      <c r="K20" s="15">
        <f>INDEX(卡牌图鉴!$S$2:$S$53,MATCH(monster!C20,卡牌图鉴!$C$2:$C$53,0))</f>
        <v>3</v>
      </c>
      <c r="L20" s="15">
        <f>INDEX(卡牌图鉴!$H$2:$H$53,MATCH(monster!C20,卡牌图鉴!$C$2:$C$53,0))</f>
        <v>1.4</v>
      </c>
      <c r="M20" s="15">
        <f>INDEX(卡牌图鉴!$L$2:$L$53,MATCH(monster!C20,卡牌图鉴!$C$2:$C$53,0))</f>
        <v>4</v>
      </c>
      <c r="N20" s="15">
        <f>INDEX(卡牌图鉴!$AD$2:$AD$53,MATCH(monster!C20,卡牌图鉴!$C$2:$C$53,0))</f>
        <v>8</v>
      </c>
      <c r="O20" s="78">
        <f>INDEX(卡牌图鉴!$K$2:$K$53,MATCH(monster!C20,卡牌图鉴!$C$2:$C$53,0))</f>
        <v>4</v>
      </c>
    </row>
    <row r="21" spans="1:15" x14ac:dyDescent="0.15">
      <c r="A21" s="31">
        <v>1324</v>
      </c>
      <c r="B21" s="31" t="s">
        <v>391</v>
      </c>
      <c r="C21" s="31">
        <v>1316</v>
      </c>
      <c r="D21" s="15">
        <f>INDEX(卡牌图鉴!$S$2:$S$53,MATCH(monster!C21,卡牌图鉴!$C$2:$C$53,0))</f>
        <v>3</v>
      </c>
      <c r="E21" s="31">
        <v>8</v>
      </c>
      <c r="F21" s="15">
        <f>INT(INDEX(卡牌图鉴!$AB$2:$AB$53,MATCH(monster!C21,卡牌图鉴!$C$2:$C$57,0)) * INDEX(数值规划表!$B$61:$B$71,monster!E21+1) * 血量调整)</f>
        <v>1195</v>
      </c>
      <c r="G21" s="15">
        <f>ROUND(INDEX(卡牌图鉴!$AB$2:$AB$53,MATCH(monster!C21,卡牌图鉴!$C$2:$C$57,0)) * INDEX(数值规划表!$D$61:$D$71,monster!E21+1)*血量调整,2)</f>
        <v>35.85</v>
      </c>
      <c r="H21" s="15">
        <f>ROUND(INDEX(卡牌图鉴!$AA$2:$AA$53,MATCH(monster!C21,卡牌图鉴!$C$2:$C$53,0)) * INDEX(数值规划表!$C$61:$C$71,monster!E21+1),2)</f>
        <v>74.53</v>
      </c>
      <c r="I21" s="15">
        <f>ROUND(INDEX(卡牌图鉴!$AA$2:$AA$53,MATCH(monster!C21,卡牌图鉴!$C$2:$C$53,0)) * INDEX(数值规划表!$E$61:$E$71,monster!E21+1),2)</f>
        <v>2.2400000000000002</v>
      </c>
      <c r="J21" s="15">
        <f>INDEX(卡牌图鉴!$J$2:$J$53,MATCH(monster!C21,卡牌图鉴!$C$2:$C$53,0))</f>
        <v>1.2</v>
      </c>
      <c r="K21" s="15">
        <f>INDEX(卡牌图鉴!$S$2:$S$53,MATCH(monster!C21,卡牌图鉴!$C$2:$C$53,0))</f>
        <v>3</v>
      </c>
      <c r="L21" s="15">
        <f>INDEX(卡牌图鉴!$H$2:$H$53,MATCH(monster!C21,卡牌图鉴!$C$2:$C$53,0))</f>
        <v>1.4</v>
      </c>
      <c r="M21" s="15">
        <f>INDEX(卡牌图鉴!$L$2:$L$53,MATCH(monster!C21,卡牌图鉴!$C$2:$C$53,0))</f>
        <v>4</v>
      </c>
      <c r="N21" s="15">
        <f>INDEX(卡牌图鉴!$AD$2:$AD$53,MATCH(monster!C21,卡牌图鉴!$C$2:$C$53,0))</f>
        <v>8</v>
      </c>
      <c r="O21" s="78">
        <f>INDEX(卡牌图鉴!$K$2:$K$53,MATCH(monster!C21,卡牌图鉴!$C$2:$C$53,0))</f>
        <v>4</v>
      </c>
    </row>
    <row r="22" spans="1:15" x14ac:dyDescent="0.15">
      <c r="A22" s="31">
        <v>1325</v>
      </c>
      <c r="B22" s="31" t="s">
        <v>392</v>
      </c>
      <c r="C22" s="31">
        <v>1316</v>
      </c>
      <c r="D22" s="15">
        <f>INDEX(卡牌图鉴!$S$2:$S$53,MATCH(monster!C22,卡牌图鉴!$C$2:$C$53,0))</f>
        <v>3</v>
      </c>
      <c r="E22" s="31">
        <v>9</v>
      </c>
      <c r="F22" s="15">
        <f>INT(INDEX(卡牌图鉴!$AB$2:$AB$53,MATCH(monster!C22,卡牌图鉴!$C$2:$C$57,0)) * INDEX(数值规划表!$B$61:$B$71,monster!E22+1) * 血量调整)</f>
        <v>1338</v>
      </c>
      <c r="G22" s="15">
        <f>ROUND(INDEX(卡牌图鉴!$AB$2:$AB$53,MATCH(monster!C22,卡牌图鉴!$C$2:$C$57,0)) * INDEX(数值规划表!$D$61:$D$71,monster!E22+1)*血量调整,2)</f>
        <v>40.15</v>
      </c>
      <c r="H22" s="15">
        <f>ROUND(INDEX(卡牌图鉴!$AA$2:$AA$53,MATCH(monster!C22,卡牌图鉴!$C$2:$C$53,0)) * INDEX(数值规划表!$C$61:$C$71,monster!E22+1),2)</f>
        <v>83.47</v>
      </c>
      <c r="I22" s="15">
        <f>ROUND(INDEX(卡牌图鉴!$AA$2:$AA$53,MATCH(monster!C22,卡牌图鉴!$C$2:$C$53,0)) * INDEX(数值规划表!$E$61:$E$71,monster!E22+1),2)</f>
        <v>2.5</v>
      </c>
      <c r="J22" s="15">
        <f>INDEX(卡牌图鉴!$J$2:$J$53,MATCH(monster!C22,卡牌图鉴!$C$2:$C$53,0))</f>
        <v>1.2</v>
      </c>
      <c r="K22" s="15">
        <f>INDEX(卡牌图鉴!$S$2:$S$53,MATCH(monster!C22,卡牌图鉴!$C$2:$C$53,0))</f>
        <v>3</v>
      </c>
      <c r="L22" s="15">
        <f>INDEX(卡牌图鉴!$H$2:$H$53,MATCH(monster!C22,卡牌图鉴!$C$2:$C$53,0))</f>
        <v>1.4</v>
      </c>
      <c r="M22" s="15">
        <f>INDEX(卡牌图鉴!$L$2:$L$53,MATCH(monster!C22,卡牌图鉴!$C$2:$C$53,0))</f>
        <v>4</v>
      </c>
      <c r="N22" s="15">
        <f>INDEX(卡牌图鉴!$AD$2:$AD$53,MATCH(monster!C22,卡牌图鉴!$C$2:$C$53,0))</f>
        <v>8</v>
      </c>
      <c r="O22" s="78">
        <f>INDEX(卡牌图鉴!$K$2:$K$53,MATCH(monster!C22,卡牌图鉴!$C$2:$C$53,0))</f>
        <v>4</v>
      </c>
    </row>
    <row r="23" spans="1:15" x14ac:dyDescent="0.15">
      <c r="A23" s="31">
        <v>1326</v>
      </c>
      <c r="B23" s="31" t="s">
        <v>393</v>
      </c>
      <c r="C23" s="31">
        <v>1316</v>
      </c>
      <c r="D23" s="15">
        <f>INDEX(卡牌图鉴!$S$2:$S$53,MATCH(monster!C23,卡牌图鉴!$C$2:$C$53,0))</f>
        <v>3</v>
      </c>
      <c r="E23" s="31">
        <v>10</v>
      </c>
      <c r="F23" s="15">
        <f>INT(INDEX(卡牌图鉴!$AB$2:$AB$53,MATCH(monster!C23,卡牌图鉴!$C$2:$C$57,0)) * INDEX(数值规划表!$B$61:$B$71,monster!E23+1) * 血量调整)</f>
        <v>1499</v>
      </c>
      <c r="G23" s="15">
        <f>ROUND(INDEX(卡牌图鉴!$AB$2:$AB$53,MATCH(monster!C23,卡牌图鉴!$C$2:$C$57,0)) * INDEX(数值规划表!$D$61:$D$71,monster!E23+1)*血量调整,2)</f>
        <v>44.97</v>
      </c>
      <c r="H23" s="15">
        <f>ROUND(INDEX(卡牌图鉴!$AA$2:$AA$53,MATCH(monster!C23,卡牌图鉴!$C$2:$C$53,0)) * INDEX(数值规划表!$C$61:$C$71,monster!E23+1),2)</f>
        <v>93.49</v>
      </c>
      <c r="I23" s="15">
        <f>ROUND(INDEX(卡牌图鉴!$AA$2:$AA$53,MATCH(monster!C23,卡牌图鉴!$C$2:$C$53,0)) * INDEX(数值规划表!$E$61:$E$71,monster!E23+1),2)</f>
        <v>2.8</v>
      </c>
      <c r="J23" s="15">
        <f>INDEX(卡牌图鉴!$J$2:$J$53,MATCH(monster!C23,卡牌图鉴!$C$2:$C$53,0))</f>
        <v>1.2</v>
      </c>
      <c r="K23" s="15">
        <f>INDEX(卡牌图鉴!$S$2:$S$53,MATCH(monster!C23,卡牌图鉴!$C$2:$C$53,0))</f>
        <v>3</v>
      </c>
      <c r="L23" s="15">
        <f>INDEX(卡牌图鉴!$H$2:$H$53,MATCH(monster!C23,卡牌图鉴!$C$2:$C$53,0))</f>
        <v>1.4</v>
      </c>
      <c r="M23" s="15">
        <f>INDEX(卡牌图鉴!$L$2:$L$53,MATCH(monster!C23,卡牌图鉴!$C$2:$C$53,0))</f>
        <v>4</v>
      </c>
      <c r="N23" s="15">
        <f>INDEX(卡牌图鉴!$AD$2:$AD$53,MATCH(monster!C23,卡牌图鉴!$C$2:$C$53,0))</f>
        <v>8</v>
      </c>
      <c r="O23" s="78">
        <f>INDEX(卡牌图鉴!$K$2:$K$53,MATCH(monster!C23,卡牌图鉴!$C$2:$C$53,0))</f>
        <v>4</v>
      </c>
    </row>
    <row r="24" spans="1:15" x14ac:dyDescent="0.15">
      <c r="A24" s="31">
        <v>1305</v>
      </c>
      <c r="B24" s="31" t="s">
        <v>1407</v>
      </c>
      <c r="C24" s="31">
        <v>1305</v>
      </c>
      <c r="D24" s="15">
        <f>INDEX(卡牌图鉴!$S$2:$S$53,MATCH(monster!C24,卡牌图鉴!$C$2:$C$53,0))</f>
        <v>4</v>
      </c>
      <c r="E24" s="31">
        <v>0</v>
      </c>
      <c r="F24" s="15">
        <f>INT(INDEX(卡牌图鉴!$AB$2:$AB$53,MATCH(monster!C24,卡牌图鉴!$C$2:$C$57,0)) * INDEX(数值规划表!$B$61:$B$71,monster!E24+1) * 血量调整)</f>
        <v>1402</v>
      </c>
      <c r="G24" s="15">
        <f>ROUND(INDEX(卡牌图鉴!$AB$2:$AB$53,MATCH(monster!C24,卡牌图鉴!$C$2:$C$57,0)) * INDEX(数值规划表!$D$61:$D$71,monster!E24+1)*血量调整,2)</f>
        <v>42.07</v>
      </c>
      <c r="H24" s="15">
        <f>ROUND(INDEX(卡牌图鉴!$AA$2:$AA$53,MATCH(monster!C24,卡牌图鉴!$C$2:$C$53,0)) * INDEX(数值规划表!$C$61:$C$71,monster!E24+1),2)</f>
        <v>37.799999999999997</v>
      </c>
      <c r="I24" s="15">
        <f>ROUND(INDEX(卡牌图鉴!$AA$2:$AA$53,MATCH(monster!C24,卡牌图鉴!$C$2:$C$53,0)) * INDEX(数值规划表!$E$61:$E$71,monster!E24+1),2)</f>
        <v>1.1299999999999999</v>
      </c>
      <c r="J24" s="15">
        <f>INDEX(卡牌图鉴!$J$2:$J$53,MATCH(monster!C24,卡牌图鉴!$C$2:$C$53,0))</f>
        <v>1.2</v>
      </c>
      <c r="K24" s="15">
        <f>INDEX(卡牌图鉴!$S$2:$S$53,MATCH(monster!C24,卡牌图鉴!$C$2:$C$53,0))</f>
        <v>4</v>
      </c>
      <c r="L24" s="15">
        <f>INDEX(卡牌图鉴!$H$2:$H$53,MATCH(monster!C24,卡牌图鉴!$C$2:$C$53,0))</f>
        <v>1.1000000000000001</v>
      </c>
      <c r="M24" s="15">
        <f>INDEX(卡牌图鉴!$L$2:$L$53,MATCH(monster!C24,卡牌图鉴!$C$2:$C$53,0))</f>
        <v>5</v>
      </c>
      <c r="N24" s="15">
        <f>INDEX(卡牌图鉴!$AD$2:$AD$53,MATCH(monster!C24,卡牌图鉴!$C$2:$C$53,0))</f>
        <v>8</v>
      </c>
      <c r="O24" s="78">
        <f>INDEX(卡牌图鉴!$K$2:$K$53,MATCH(monster!C24,卡牌图鉴!$C$2:$C$53,0))</f>
        <v>5</v>
      </c>
    </row>
    <row r="25" spans="1:15" x14ac:dyDescent="0.15">
      <c r="A25" s="31">
        <v>1306</v>
      </c>
      <c r="B25" s="31" t="s">
        <v>1408</v>
      </c>
      <c r="C25" s="31">
        <v>1305</v>
      </c>
      <c r="D25" s="15">
        <f>INDEX(卡牌图鉴!$S$2:$S$53,MATCH(monster!C25,卡牌图鉴!$C$2:$C$53,0))</f>
        <v>4</v>
      </c>
      <c r="E25" s="31">
        <v>1</v>
      </c>
      <c r="F25" s="15">
        <f>INT(INDEX(卡牌图鉴!$AB$2:$AB$53,MATCH(monster!C25,卡牌图鉴!$C$2:$C$57,0)) * INDEX(数值规划表!$B$61:$B$71,monster!E25+1) * 血量调整)</f>
        <v>1570</v>
      </c>
      <c r="G25" s="15">
        <f>ROUND(INDEX(卡牌图鉴!$AB$2:$AB$53,MATCH(monster!C25,卡牌图鉴!$C$2:$C$57,0)) * INDEX(数值规划表!$D$61:$D$71,monster!E25+1)*血量调整,2)</f>
        <v>47.12</v>
      </c>
      <c r="H25" s="15">
        <f>ROUND(INDEX(卡牌图鉴!$AA$2:$AA$53,MATCH(monster!C25,卡牌图鉴!$C$2:$C$53,0)) * INDEX(数值规划表!$C$61:$C$71,monster!E25+1),2)</f>
        <v>42.34</v>
      </c>
      <c r="I25" s="15">
        <f>ROUND(INDEX(卡牌图鉴!$AA$2:$AA$53,MATCH(monster!C25,卡牌图鉴!$C$2:$C$53,0)) * INDEX(数值规划表!$E$61:$E$71,monster!E25+1),2)</f>
        <v>1.27</v>
      </c>
      <c r="J25" s="15">
        <f>INDEX(卡牌图鉴!$J$2:$J$53,MATCH(monster!C25,卡牌图鉴!$C$2:$C$53,0))</f>
        <v>1.2</v>
      </c>
      <c r="K25" s="15">
        <f>INDEX(卡牌图鉴!$S$2:$S$53,MATCH(monster!C25,卡牌图鉴!$C$2:$C$53,0))</f>
        <v>4</v>
      </c>
      <c r="L25" s="15">
        <f>INDEX(卡牌图鉴!$H$2:$H$53,MATCH(monster!C25,卡牌图鉴!$C$2:$C$53,0))</f>
        <v>1.1000000000000001</v>
      </c>
      <c r="M25" s="15">
        <f>INDEX(卡牌图鉴!$L$2:$L$53,MATCH(monster!C25,卡牌图鉴!$C$2:$C$53,0))</f>
        <v>5</v>
      </c>
      <c r="N25" s="15">
        <f>INDEX(卡牌图鉴!$AD$2:$AD$53,MATCH(monster!C25,卡牌图鉴!$C$2:$C$53,0))</f>
        <v>8</v>
      </c>
      <c r="O25" s="78">
        <f>INDEX(卡牌图鉴!$K$2:$K$53,MATCH(monster!C25,卡牌图鉴!$C$2:$C$53,0))</f>
        <v>5</v>
      </c>
    </row>
    <row r="26" spans="1:15" x14ac:dyDescent="0.15">
      <c r="A26" s="31">
        <v>1307</v>
      </c>
      <c r="B26" s="31" t="s">
        <v>377</v>
      </c>
      <c r="C26" s="31">
        <v>1305</v>
      </c>
      <c r="D26" s="15">
        <f>INDEX(卡牌图鉴!$S$2:$S$53,MATCH(monster!C26,卡牌图鉴!$C$2:$C$53,0))</f>
        <v>4</v>
      </c>
      <c r="E26" s="31">
        <v>2</v>
      </c>
      <c r="F26" s="15">
        <f>INT(INDEX(卡牌图鉴!$AB$2:$AB$53,MATCH(monster!C26,卡牌图鉴!$C$2:$C$57,0)) * INDEX(数值规划表!$B$61:$B$71,monster!E26+1) * 血量调整)</f>
        <v>1759</v>
      </c>
      <c r="G26" s="15">
        <f>ROUND(INDEX(卡牌图鉴!$AB$2:$AB$53,MATCH(monster!C26,卡牌图鉴!$C$2:$C$57,0)) * INDEX(数值规划表!$D$61:$D$71,monster!E26+1)*血量调整,2)</f>
        <v>52.77</v>
      </c>
      <c r="H26" s="15">
        <f>ROUND(INDEX(卡牌图鉴!$AA$2:$AA$53,MATCH(monster!C26,卡牌图鉴!$C$2:$C$53,0)) * INDEX(数值规划表!$C$61:$C$71,monster!E26+1),2)</f>
        <v>47.42</v>
      </c>
      <c r="I26" s="15">
        <f>ROUND(INDEX(卡牌图鉴!$AA$2:$AA$53,MATCH(monster!C26,卡牌图鉴!$C$2:$C$53,0)) * INDEX(数值规划表!$E$61:$E$71,monster!E26+1),2)</f>
        <v>1.42</v>
      </c>
      <c r="J26" s="15">
        <f>INDEX(卡牌图鉴!$J$2:$J$53,MATCH(monster!C26,卡牌图鉴!$C$2:$C$53,0))</f>
        <v>1.2</v>
      </c>
      <c r="K26" s="15">
        <f>INDEX(卡牌图鉴!$S$2:$S$53,MATCH(monster!C26,卡牌图鉴!$C$2:$C$53,0))</f>
        <v>4</v>
      </c>
      <c r="L26" s="15">
        <f>INDEX(卡牌图鉴!$H$2:$H$53,MATCH(monster!C26,卡牌图鉴!$C$2:$C$53,0))</f>
        <v>1.1000000000000001</v>
      </c>
      <c r="M26" s="15">
        <f>INDEX(卡牌图鉴!$L$2:$L$53,MATCH(monster!C26,卡牌图鉴!$C$2:$C$53,0))</f>
        <v>5</v>
      </c>
      <c r="N26" s="15">
        <f>INDEX(卡牌图鉴!$AD$2:$AD$53,MATCH(monster!C26,卡牌图鉴!$C$2:$C$53,0))</f>
        <v>8</v>
      </c>
      <c r="O26" s="78">
        <f>INDEX(卡牌图鉴!$K$2:$K$53,MATCH(monster!C26,卡牌图鉴!$C$2:$C$53,0))</f>
        <v>5</v>
      </c>
    </row>
    <row r="27" spans="1:15" x14ac:dyDescent="0.15">
      <c r="A27" s="31">
        <v>1308</v>
      </c>
      <c r="B27" s="31" t="s">
        <v>378</v>
      </c>
      <c r="C27" s="31">
        <v>1305</v>
      </c>
      <c r="D27" s="15">
        <f>INDEX(卡牌图鉴!$S$2:$S$53,MATCH(monster!C27,卡牌图鉴!$C$2:$C$53,0))</f>
        <v>4</v>
      </c>
      <c r="E27" s="31">
        <v>3</v>
      </c>
      <c r="F27" s="15">
        <f>INT(INDEX(卡牌图鉴!$AB$2:$AB$53,MATCH(monster!C27,卡牌图鉴!$C$2:$C$57,0)) * INDEX(数值规划表!$B$61:$B$71,monster!E27+1) * 血量调整)</f>
        <v>1970</v>
      </c>
      <c r="G27" s="15">
        <f>ROUND(INDEX(卡牌图鉴!$AB$2:$AB$53,MATCH(monster!C27,卡牌图鉴!$C$2:$C$57,0)) * INDEX(数值规划表!$D$61:$D$71,monster!E27+1)*血量调整,2)</f>
        <v>59.1</v>
      </c>
      <c r="H27" s="15">
        <f>ROUND(INDEX(卡牌图鉴!$AA$2:$AA$53,MATCH(monster!C27,卡牌图鉴!$C$2:$C$53,0)) * INDEX(数值规划表!$C$61:$C$71,monster!E27+1),2)</f>
        <v>53.11</v>
      </c>
      <c r="I27" s="15">
        <f>ROUND(INDEX(卡牌图鉴!$AA$2:$AA$53,MATCH(monster!C27,卡牌图鉴!$C$2:$C$53,0)) * INDEX(数值规划表!$E$61:$E$71,monster!E27+1),2)</f>
        <v>1.59</v>
      </c>
      <c r="J27" s="15">
        <f>INDEX(卡牌图鉴!$J$2:$J$53,MATCH(monster!C27,卡牌图鉴!$C$2:$C$53,0))</f>
        <v>1.2</v>
      </c>
      <c r="K27" s="15">
        <f>INDEX(卡牌图鉴!$S$2:$S$53,MATCH(monster!C27,卡牌图鉴!$C$2:$C$53,0))</f>
        <v>4</v>
      </c>
      <c r="L27" s="15">
        <f>INDEX(卡牌图鉴!$H$2:$H$53,MATCH(monster!C27,卡牌图鉴!$C$2:$C$53,0))</f>
        <v>1.1000000000000001</v>
      </c>
      <c r="M27" s="15">
        <f>INDEX(卡牌图鉴!$L$2:$L$53,MATCH(monster!C27,卡牌图鉴!$C$2:$C$53,0))</f>
        <v>5</v>
      </c>
      <c r="N27" s="15">
        <f>INDEX(卡牌图鉴!$AD$2:$AD$53,MATCH(monster!C27,卡牌图鉴!$C$2:$C$53,0))</f>
        <v>8</v>
      </c>
      <c r="O27" s="78">
        <f>INDEX(卡牌图鉴!$K$2:$K$53,MATCH(monster!C27,卡牌图鉴!$C$2:$C$53,0))</f>
        <v>5</v>
      </c>
    </row>
    <row r="28" spans="1:15" x14ac:dyDescent="0.15">
      <c r="A28" s="31">
        <v>1309</v>
      </c>
      <c r="B28" s="31" t="s">
        <v>379</v>
      </c>
      <c r="C28" s="31">
        <v>1305</v>
      </c>
      <c r="D28" s="15">
        <f>INDEX(卡牌图鉴!$S$2:$S$53,MATCH(monster!C28,卡牌图鉴!$C$2:$C$53,0))</f>
        <v>4</v>
      </c>
      <c r="E28" s="31">
        <v>4</v>
      </c>
      <c r="F28" s="15">
        <f>INT(INDEX(卡牌图鉴!$AB$2:$AB$53,MATCH(monster!C28,卡牌图鉴!$C$2:$C$57,0)) * INDEX(数值规划表!$B$61:$B$71,monster!E28+1) * 血量调整)</f>
        <v>2206</v>
      </c>
      <c r="G28" s="15">
        <f>ROUND(INDEX(卡牌图鉴!$AB$2:$AB$53,MATCH(monster!C28,卡牌图鉴!$C$2:$C$57,0)) * INDEX(数值规划表!$D$61:$D$71,monster!E28+1)*血量调整,2)</f>
        <v>66.2</v>
      </c>
      <c r="H28" s="15">
        <f>ROUND(INDEX(卡牌图鉴!$AA$2:$AA$53,MATCH(monster!C28,卡牌图鉴!$C$2:$C$53,0)) * INDEX(数值规划表!$C$61:$C$71,monster!E28+1),2)</f>
        <v>59.48</v>
      </c>
      <c r="I28" s="15">
        <f>ROUND(INDEX(卡牌图鉴!$AA$2:$AA$53,MATCH(monster!C28,卡牌图鉴!$C$2:$C$53,0)) * INDEX(数值规划表!$E$61:$E$71,monster!E28+1),2)</f>
        <v>1.78</v>
      </c>
      <c r="J28" s="15">
        <f>INDEX(卡牌图鉴!$J$2:$J$53,MATCH(monster!C28,卡牌图鉴!$C$2:$C$53,0))</f>
        <v>1.2</v>
      </c>
      <c r="K28" s="15">
        <f>INDEX(卡牌图鉴!$S$2:$S$53,MATCH(monster!C28,卡牌图鉴!$C$2:$C$53,0))</f>
        <v>4</v>
      </c>
      <c r="L28" s="15">
        <f>INDEX(卡牌图鉴!$H$2:$H$53,MATCH(monster!C28,卡牌图鉴!$C$2:$C$53,0))</f>
        <v>1.1000000000000001</v>
      </c>
      <c r="M28" s="15">
        <f>INDEX(卡牌图鉴!$L$2:$L$53,MATCH(monster!C28,卡牌图鉴!$C$2:$C$53,0))</f>
        <v>5</v>
      </c>
      <c r="N28" s="15">
        <f>INDEX(卡牌图鉴!$AD$2:$AD$53,MATCH(monster!C28,卡牌图鉴!$C$2:$C$53,0))</f>
        <v>8</v>
      </c>
      <c r="O28" s="78">
        <f>INDEX(卡牌图鉴!$K$2:$K$53,MATCH(monster!C28,卡牌图鉴!$C$2:$C$53,0))</f>
        <v>5</v>
      </c>
    </row>
    <row r="29" spans="1:15" x14ac:dyDescent="0.15">
      <c r="A29" s="31">
        <v>1310</v>
      </c>
      <c r="B29" s="31" t="s">
        <v>380</v>
      </c>
      <c r="C29" s="31">
        <v>1305</v>
      </c>
      <c r="D29" s="15">
        <f>INDEX(卡牌图鉴!$S$2:$S$53,MATCH(monster!C29,卡牌图鉴!$C$2:$C$53,0))</f>
        <v>4</v>
      </c>
      <c r="E29" s="31">
        <v>5</v>
      </c>
      <c r="F29" s="15">
        <f>INT(INDEX(卡牌图鉴!$AB$2:$AB$53,MATCH(monster!C29,卡牌图鉴!$C$2:$C$57,0)) * INDEX(数值规划表!$B$61:$B$71,monster!E29+1) * 血量调整)</f>
        <v>2471</v>
      </c>
      <c r="G29" s="15">
        <f>ROUND(INDEX(卡牌图鉴!$AB$2:$AB$53,MATCH(monster!C29,卡牌图鉴!$C$2:$C$57,0)) * INDEX(数值规划表!$D$61:$D$71,monster!E29+1)*血量调整,2)</f>
        <v>74.14</v>
      </c>
      <c r="H29" s="15">
        <f>ROUND(INDEX(卡牌图鉴!$AA$2:$AA$53,MATCH(monster!C29,卡牌图鉴!$C$2:$C$53,0)) * INDEX(数值规划表!$C$61:$C$71,monster!E29+1),2)</f>
        <v>66.62</v>
      </c>
      <c r="I29" s="15">
        <f>ROUND(INDEX(卡牌图鉴!$AA$2:$AA$53,MATCH(monster!C29,卡牌图鉴!$C$2:$C$53,0)) * INDEX(数值规划表!$E$61:$E$71,monster!E29+1),2)</f>
        <v>2</v>
      </c>
      <c r="J29" s="15">
        <f>INDEX(卡牌图鉴!$J$2:$J$53,MATCH(monster!C29,卡牌图鉴!$C$2:$C$53,0))</f>
        <v>1.2</v>
      </c>
      <c r="K29" s="15">
        <f>INDEX(卡牌图鉴!$S$2:$S$53,MATCH(monster!C29,卡牌图鉴!$C$2:$C$53,0))</f>
        <v>4</v>
      </c>
      <c r="L29" s="15">
        <f>INDEX(卡牌图鉴!$H$2:$H$53,MATCH(monster!C29,卡牌图鉴!$C$2:$C$53,0))</f>
        <v>1.1000000000000001</v>
      </c>
      <c r="M29" s="15">
        <f>INDEX(卡牌图鉴!$L$2:$L$53,MATCH(monster!C29,卡牌图鉴!$C$2:$C$53,0))</f>
        <v>5</v>
      </c>
      <c r="N29" s="15">
        <f>INDEX(卡牌图鉴!$AD$2:$AD$53,MATCH(monster!C29,卡牌图鉴!$C$2:$C$53,0))</f>
        <v>8</v>
      </c>
      <c r="O29" s="78">
        <f>INDEX(卡牌图鉴!$K$2:$K$53,MATCH(monster!C29,卡牌图鉴!$C$2:$C$53,0))</f>
        <v>5</v>
      </c>
    </row>
    <row r="30" spans="1:15" x14ac:dyDescent="0.15">
      <c r="A30" s="31">
        <v>1311</v>
      </c>
      <c r="B30" s="31" t="s">
        <v>381</v>
      </c>
      <c r="C30" s="31">
        <v>1305</v>
      </c>
      <c r="D30" s="15">
        <f>INDEX(卡牌图鉴!$S$2:$S$53,MATCH(monster!C30,卡牌图鉴!$C$2:$C$53,0))</f>
        <v>4</v>
      </c>
      <c r="E30" s="31">
        <v>6</v>
      </c>
      <c r="F30" s="15">
        <f>INT(INDEX(卡牌图鉴!$AB$2:$AB$53,MATCH(monster!C30,卡牌图鉴!$C$2:$C$57,0)) * INDEX(数值规划表!$B$61:$B$71,monster!E30+1) * 血量调整)</f>
        <v>2767</v>
      </c>
      <c r="G30" s="15">
        <f>ROUND(INDEX(卡牌图鉴!$AB$2:$AB$53,MATCH(monster!C30,卡牌图鉴!$C$2:$C$57,0)) * INDEX(数值规划表!$D$61:$D$71,monster!E30+1)*血量调整,2)</f>
        <v>83.04</v>
      </c>
      <c r="H30" s="15">
        <f>ROUND(INDEX(卡牌图鉴!$AA$2:$AA$53,MATCH(monster!C30,卡牌图鉴!$C$2:$C$53,0)) * INDEX(数值规划表!$C$61:$C$71,monster!E30+1),2)</f>
        <v>74.61</v>
      </c>
      <c r="I30" s="15">
        <f>ROUND(INDEX(卡牌图鉴!$AA$2:$AA$53,MATCH(monster!C30,卡牌图鉴!$C$2:$C$53,0)) * INDEX(数值规划表!$E$61:$E$71,monster!E30+1),2)</f>
        <v>2.2400000000000002</v>
      </c>
      <c r="J30" s="15">
        <f>INDEX(卡牌图鉴!$J$2:$J$53,MATCH(monster!C30,卡牌图鉴!$C$2:$C$53,0))</f>
        <v>1.2</v>
      </c>
      <c r="K30" s="15">
        <f>INDEX(卡牌图鉴!$S$2:$S$53,MATCH(monster!C30,卡牌图鉴!$C$2:$C$53,0))</f>
        <v>4</v>
      </c>
      <c r="L30" s="15">
        <f>INDEX(卡牌图鉴!$H$2:$H$53,MATCH(monster!C30,卡牌图鉴!$C$2:$C$53,0))</f>
        <v>1.1000000000000001</v>
      </c>
      <c r="M30" s="15">
        <f>INDEX(卡牌图鉴!$L$2:$L$53,MATCH(monster!C30,卡牌图鉴!$C$2:$C$53,0))</f>
        <v>5</v>
      </c>
      <c r="N30" s="15">
        <f>INDEX(卡牌图鉴!$AD$2:$AD$53,MATCH(monster!C30,卡牌图鉴!$C$2:$C$53,0))</f>
        <v>8</v>
      </c>
      <c r="O30" s="78">
        <f>INDEX(卡牌图鉴!$K$2:$K$53,MATCH(monster!C30,卡牌图鉴!$C$2:$C$53,0))</f>
        <v>5</v>
      </c>
    </row>
    <row r="31" spans="1:15" x14ac:dyDescent="0.15">
      <c r="A31" s="31">
        <v>1312</v>
      </c>
      <c r="B31" s="31" t="s">
        <v>382</v>
      </c>
      <c r="C31" s="31">
        <v>1305</v>
      </c>
      <c r="D31" s="15">
        <f>INDEX(卡牌图鉴!$S$2:$S$53,MATCH(monster!C31,卡牌图鉴!$C$2:$C$53,0))</f>
        <v>4</v>
      </c>
      <c r="E31" s="31">
        <v>7</v>
      </c>
      <c r="F31" s="15">
        <f>INT(INDEX(卡牌图鉴!$AB$2:$AB$53,MATCH(monster!C31,卡牌图鉴!$C$2:$C$57,0)) * INDEX(数值规划表!$B$61:$B$71,monster!E31+1) * 血量调整)</f>
        <v>3100</v>
      </c>
      <c r="G31" s="15">
        <f>ROUND(INDEX(卡牌图鉴!$AB$2:$AB$53,MATCH(monster!C31,卡牌图鉴!$C$2:$C$57,0)) * INDEX(数值规划表!$D$61:$D$71,monster!E31+1)*血量调整,2)</f>
        <v>93</v>
      </c>
      <c r="H31" s="15">
        <f>ROUND(INDEX(卡牌图鉴!$AA$2:$AA$53,MATCH(monster!C31,卡牌图鉴!$C$2:$C$53,0)) * INDEX(数值规划表!$C$61:$C$71,monster!E31+1),2)</f>
        <v>83.56</v>
      </c>
      <c r="I31" s="15">
        <f>ROUND(INDEX(卡牌图鉴!$AA$2:$AA$53,MATCH(monster!C31,卡牌图鉴!$C$2:$C$53,0)) * INDEX(数值规划表!$E$61:$E$71,monster!E31+1),2)</f>
        <v>2.5099999999999998</v>
      </c>
      <c r="J31" s="15">
        <f>INDEX(卡牌图鉴!$J$2:$J$53,MATCH(monster!C31,卡牌图鉴!$C$2:$C$53,0))</f>
        <v>1.2</v>
      </c>
      <c r="K31" s="15">
        <f>INDEX(卡牌图鉴!$S$2:$S$53,MATCH(monster!C31,卡牌图鉴!$C$2:$C$53,0))</f>
        <v>4</v>
      </c>
      <c r="L31" s="15">
        <f>INDEX(卡牌图鉴!$H$2:$H$53,MATCH(monster!C31,卡牌图鉴!$C$2:$C$53,0))</f>
        <v>1.1000000000000001</v>
      </c>
      <c r="M31" s="15">
        <f>INDEX(卡牌图鉴!$L$2:$L$53,MATCH(monster!C31,卡牌图鉴!$C$2:$C$53,0))</f>
        <v>5</v>
      </c>
      <c r="N31" s="15">
        <f>INDEX(卡牌图鉴!$AD$2:$AD$53,MATCH(monster!C31,卡牌图鉴!$C$2:$C$53,0))</f>
        <v>8</v>
      </c>
      <c r="O31" s="78">
        <f>INDEX(卡牌图鉴!$K$2:$K$53,MATCH(monster!C31,卡牌图鉴!$C$2:$C$53,0))</f>
        <v>5</v>
      </c>
    </row>
    <row r="32" spans="1:15" x14ac:dyDescent="0.15">
      <c r="A32" s="31">
        <v>1313</v>
      </c>
      <c r="B32" s="31" t="s">
        <v>383</v>
      </c>
      <c r="C32" s="31">
        <v>1305</v>
      </c>
      <c r="D32" s="15">
        <f>INDEX(卡牌图鉴!$S$2:$S$53,MATCH(monster!C32,卡牌图鉴!$C$2:$C$53,0))</f>
        <v>4</v>
      </c>
      <c r="E32" s="31">
        <v>8</v>
      </c>
      <c r="F32" s="15">
        <f>INT(INDEX(卡牌图鉴!$AB$2:$AB$53,MATCH(monster!C32,卡牌图鉴!$C$2:$C$57,0)) * INDEX(数值规划表!$B$61:$B$71,monster!E32+1) * 血量调整)</f>
        <v>3472</v>
      </c>
      <c r="G32" s="15">
        <f>ROUND(INDEX(卡牌图鉴!$AB$2:$AB$53,MATCH(monster!C32,卡牌图鉴!$C$2:$C$57,0)) * INDEX(数值规划表!$D$61:$D$71,monster!E32+1)*血量调整,2)</f>
        <v>104.16</v>
      </c>
      <c r="H32" s="15">
        <f>ROUND(INDEX(卡牌图鉴!$AA$2:$AA$53,MATCH(monster!C32,卡牌图鉴!$C$2:$C$53,0)) * INDEX(数值规划表!$C$61:$C$71,monster!E32+1),2)</f>
        <v>93.59</v>
      </c>
      <c r="I32" s="15">
        <f>ROUND(INDEX(卡牌图鉴!$AA$2:$AA$53,MATCH(monster!C32,卡牌图鉴!$C$2:$C$53,0)) * INDEX(数值规划表!$E$61:$E$71,monster!E32+1),2)</f>
        <v>2.81</v>
      </c>
      <c r="J32" s="15">
        <f>INDEX(卡牌图鉴!$J$2:$J$53,MATCH(monster!C32,卡牌图鉴!$C$2:$C$53,0))</f>
        <v>1.2</v>
      </c>
      <c r="K32" s="15">
        <f>INDEX(卡牌图鉴!$S$2:$S$53,MATCH(monster!C32,卡牌图鉴!$C$2:$C$53,0))</f>
        <v>4</v>
      </c>
      <c r="L32" s="15">
        <f>INDEX(卡牌图鉴!$H$2:$H$53,MATCH(monster!C32,卡牌图鉴!$C$2:$C$53,0))</f>
        <v>1.1000000000000001</v>
      </c>
      <c r="M32" s="15">
        <f>INDEX(卡牌图鉴!$L$2:$L$53,MATCH(monster!C32,卡牌图鉴!$C$2:$C$53,0))</f>
        <v>5</v>
      </c>
      <c r="N32" s="15">
        <f>INDEX(卡牌图鉴!$AD$2:$AD$53,MATCH(monster!C32,卡牌图鉴!$C$2:$C$53,0))</f>
        <v>8</v>
      </c>
      <c r="O32" s="78">
        <f>INDEX(卡牌图鉴!$K$2:$K$53,MATCH(monster!C32,卡牌图鉴!$C$2:$C$53,0))</f>
        <v>5</v>
      </c>
    </row>
    <row r="33" spans="1:15" x14ac:dyDescent="0.15">
      <c r="A33" s="31">
        <v>1314</v>
      </c>
      <c r="B33" s="31" t="s">
        <v>384</v>
      </c>
      <c r="C33" s="31">
        <v>1305</v>
      </c>
      <c r="D33" s="15">
        <f>INDEX(卡牌图鉴!$S$2:$S$53,MATCH(monster!C33,卡牌图鉴!$C$2:$C$53,0))</f>
        <v>4</v>
      </c>
      <c r="E33" s="31">
        <v>9</v>
      </c>
      <c r="F33" s="15">
        <f>INT(INDEX(卡牌图鉴!$AB$2:$AB$53,MATCH(monster!C33,卡牌图鉴!$C$2:$C$57,0)) * INDEX(数值规划表!$B$61:$B$71,monster!E33+1) * 血量调整)</f>
        <v>3888</v>
      </c>
      <c r="G33" s="15">
        <f>ROUND(INDEX(卡牌图鉴!$AB$2:$AB$53,MATCH(monster!C33,卡牌图鉴!$C$2:$C$57,0)) * INDEX(数值规划表!$D$61:$D$71,monster!E33+1)*血量调整,2)</f>
        <v>116.66</v>
      </c>
      <c r="H33" s="15">
        <f>ROUND(INDEX(卡牌图鉴!$AA$2:$AA$53,MATCH(monster!C33,卡牌图鉴!$C$2:$C$53,0)) * INDEX(数值规划表!$C$61:$C$71,monster!E33+1),2)</f>
        <v>104.82</v>
      </c>
      <c r="I33" s="15">
        <f>ROUND(INDEX(卡牌图鉴!$AA$2:$AA$53,MATCH(monster!C33,卡牌图鉴!$C$2:$C$53,0)) * INDEX(数值规划表!$E$61:$E$71,monster!E33+1),2)</f>
        <v>3.14</v>
      </c>
      <c r="J33" s="15">
        <f>INDEX(卡牌图鉴!$J$2:$J$53,MATCH(monster!C33,卡牌图鉴!$C$2:$C$53,0))</f>
        <v>1.2</v>
      </c>
      <c r="K33" s="15">
        <f>INDEX(卡牌图鉴!$S$2:$S$53,MATCH(monster!C33,卡牌图鉴!$C$2:$C$53,0))</f>
        <v>4</v>
      </c>
      <c r="L33" s="15">
        <f>INDEX(卡牌图鉴!$H$2:$H$53,MATCH(monster!C33,卡牌图鉴!$C$2:$C$53,0))</f>
        <v>1.1000000000000001</v>
      </c>
      <c r="M33" s="15">
        <f>INDEX(卡牌图鉴!$L$2:$L$53,MATCH(monster!C33,卡牌图鉴!$C$2:$C$53,0))</f>
        <v>5</v>
      </c>
      <c r="N33" s="15">
        <f>INDEX(卡牌图鉴!$AD$2:$AD$53,MATCH(monster!C33,卡牌图鉴!$C$2:$C$53,0))</f>
        <v>8</v>
      </c>
      <c r="O33" s="78">
        <f>INDEX(卡牌图鉴!$K$2:$K$53,MATCH(monster!C33,卡牌图鉴!$C$2:$C$53,0))</f>
        <v>5</v>
      </c>
    </row>
    <row r="34" spans="1:15" x14ac:dyDescent="0.15">
      <c r="A34" s="31">
        <v>1315</v>
      </c>
      <c r="B34" s="31" t="s">
        <v>385</v>
      </c>
      <c r="C34" s="31">
        <v>1305</v>
      </c>
      <c r="D34" s="15">
        <f>INDEX(卡牌图鉴!$S$2:$S$53,MATCH(monster!C34,卡牌图鉴!$C$2:$C$53,0))</f>
        <v>4</v>
      </c>
      <c r="E34" s="31">
        <v>10</v>
      </c>
      <c r="F34" s="15">
        <f>INT(INDEX(卡牌图鉴!$AB$2:$AB$53,MATCH(monster!C34,卡牌图鉴!$C$2:$C$57,0)) * INDEX(数值规划表!$B$61:$B$71,monster!E34+1) * 血量调整)</f>
        <v>4355</v>
      </c>
      <c r="G34" s="15">
        <f>ROUND(INDEX(卡牌图鉴!$AB$2:$AB$53,MATCH(monster!C34,卡牌图鉴!$C$2:$C$57,0)) * INDEX(数值规划表!$D$61:$D$71,monster!E34+1)*血量调整,2)</f>
        <v>130.66</v>
      </c>
      <c r="H34" s="15">
        <f>ROUND(INDEX(卡牌图鉴!$AA$2:$AA$53,MATCH(monster!C34,卡牌图鉴!$C$2:$C$53,0)) * INDEX(数值规划表!$C$61:$C$71,monster!E34+1),2)</f>
        <v>117.4</v>
      </c>
      <c r="I34" s="15">
        <f>ROUND(INDEX(卡牌图鉴!$AA$2:$AA$53,MATCH(monster!C34,卡牌图鉴!$C$2:$C$53,0)) * INDEX(数值规划表!$E$61:$E$71,monster!E34+1),2)</f>
        <v>3.52</v>
      </c>
      <c r="J34" s="15">
        <f>INDEX(卡牌图鉴!$J$2:$J$53,MATCH(monster!C34,卡牌图鉴!$C$2:$C$53,0))</f>
        <v>1.2</v>
      </c>
      <c r="K34" s="15">
        <f>INDEX(卡牌图鉴!$S$2:$S$53,MATCH(monster!C34,卡牌图鉴!$C$2:$C$53,0))</f>
        <v>4</v>
      </c>
      <c r="L34" s="15">
        <f>INDEX(卡牌图鉴!$H$2:$H$53,MATCH(monster!C34,卡牌图鉴!$C$2:$C$53,0))</f>
        <v>1.1000000000000001</v>
      </c>
      <c r="M34" s="15">
        <f>INDEX(卡牌图鉴!$L$2:$L$53,MATCH(monster!C34,卡牌图鉴!$C$2:$C$53,0))</f>
        <v>5</v>
      </c>
      <c r="N34" s="15">
        <f>INDEX(卡牌图鉴!$AD$2:$AD$53,MATCH(monster!C34,卡牌图鉴!$C$2:$C$53,0))</f>
        <v>8</v>
      </c>
      <c r="O34" s="78">
        <f>INDEX(卡牌图鉴!$K$2:$K$53,MATCH(monster!C34,卡牌图鉴!$C$2:$C$53,0))</f>
        <v>5</v>
      </c>
    </row>
    <row r="35" spans="1:15" x14ac:dyDescent="0.15">
      <c r="A35" s="31">
        <v>1023</v>
      </c>
      <c r="B35" s="31" t="s">
        <v>1371</v>
      </c>
      <c r="C35" s="31">
        <v>1023</v>
      </c>
      <c r="D35" s="15">
        <f>INDEX(卡牌图鉴!$S$2:$S$53,MATCH(monster!C35,卡牌图鉴!$C$2:$C$53,0))</f>
        <v>1</v>
      </c>
      <c r="E35" s="31">
        <v>0</v>
      </c>
      <c r="F35" s="15">
        <f>INT(INDEX(卡牌图鉴!$AB$2:$AB$53,MATCH(monster!C35,卡牌图鉴!$C$2:$C$57,0)) * INDEX(数值规划表!$B$61:$B$71,monster!E35+1) * 血量调整)</f>
        <v>159</v>
      </c>
      <c r="G35" s="15">
        <f>ROUND(INDEX(卡牌图鉴!$AB$2:$AB$53,MATCH(monster!C35,卡牌图鉴!$C$2:$C$57,0)) * INDEX(数值规划表!$D$61:$D$71,monster!E35+1)*血量调整,2)</f>
        <v>4.8</v>
      </c>
      <c r="H35" s="15">
        <f>ROUND(INDEX(卡牌图鉴!$AA$2:$AA$53,MATCH(monster!C35,卡牌图鉴!$C$2:$C$53,0)) * INDEX(数值规划表!$C$61:$C$71,monster!E35+1),2)</f>
        <v>47.24</v>
      </c>
      <c r="I35" s="15">
        <f>ROUND(INDEX(卡牌图鉴!$AA$2:$AA$53,MATCH(monster!C35,卡牌图鉴!$C$2:$C$53,0)) * INDEX(数值规划表!$E$61:$E$71,monster!E35+1),2)</f>
        <v>1.42</v>
      </c>
      <c r="J35" s="15">
        <f>INDEX(卡牌图鉴!$J$2:$J$53,MATCH(monster!C35,卡牌图鉴!$C$2:$C$53,0))</f>
        <v>4</v>
      </c>
      <c r="K35" s="15">
        <f>INDEX(卡牌图鉴!$S$2:$S$53,MATCH(monster!C35,卡牌图鉴!$C$2:$C$53,0))</f>
        <v>1</v>
      </c>
      <c r="L35" s="15">
        <f>INDEX(卡牌图鉴!$H$2:$H$53,MATCH(monster!C35,卡牌图鉴!$C$2:$C$53,0))</f>
        <v>1.1000000000000001</v>
      </c>
      <c r="M35" s="15">
        <f>INDEX(卡牌图鉴!$L$2:$L$53,MATCH(monster!C35,卡牌图鉴!$C$2:$C$53,0))</f>
        <v>2</v>
      </c>
      <c r="N35" s="15">
        <f>INDEX(卡牌图鉴!$AD$2:$AD$53,MATCH(monster!C35,卡牌图鉴!$C$2:$C$53,0))</f>
        <v>8</v>
      </c>
      <c r="O35" s="78">
        <f>INDEX(卡牌图鉴!$K$2:$K$53,MATCH(monster!C35,卡牌图鉴!$C$2:$C$53,0))</f>
        <v>2</v>
      </c>
    </row>
    <row r="36" spans="1:15" x14ac:dyDescent="0.15">
      <c r="A36" s="31">
        <v>1024</v>
      </c>
      <c r="B36" s="31" t="s">
        <v>1409</v>
      </c>
      <c r="C36" s="31">
        <v>1023</v>
      </c>
      <c r="D36" s="15">
        <f>INDEX(卡牌图鉴!$S$2:$S$53,MATCH(monster!C36,卡牌图鉴!$C$2:$C$53,0))</f>
        <v>1</v>
      </c>
      <c r="E36" s="31">
        <v>1</v>
      </c>
      <c r="F36" s="15">
        <f>INT(INDEX(卡牌图鉴!$AB$2:$AB$53,MATCH(monster!C36,卡牌图鉴!$C$2:$C$57,0)) * INDEX(数值规划表!$B$61:$B$71,monster!E36+1) * 血量调整)</f>
        <v>179</v>
      </c>
      <c r="G36" s="15">
        <f>ROUND(INDEX(卡牌图鉴!$AB$2:$AB$53,MATCH(monster!C36,卡牌图鉴!$C$2:$C$57,0)) * INDEX(数值规划表!$D$61:$D$71,monster!E36+1)*血量调整,2)</f>
        <v>5.37</v>
      </c>
      <c r="H36" s="15">
        <f>ROUND(INDEX(卡牌图鉴!$AA$2:$AA$53,MATCH(monster!C36,卡牌图鉴!$C$2:$C$53,0)) * INDEX(数值规划表!$C$61:$C$71,monster!E36+1),2)</f>
        <v>52.91</v>
      </c>
      <c r="I36" s="15">
        <f>ROUND(INDEX(卡牌图鉴!$AA$2:$AA$53,MATCH(monster!C36,卡牌图鉴!$C$2:$C$53,0)) * INDEX(数值规划表!$E$61:$E$71,monster!E36+1),2)</f>
        <v>1.59</v>
      </c>
      <c r="J36" s="15">
        <f>INDEX(卡牌图鉴!$J$2:$J$53,MATCH(monster!C36,卡牌图鉴!$C$2:$C$53,0))</f>
        <v>4</v>
      </c>
      <c r="K36" s="15">
        <f>INDEX(卡牌图鉴!$S$2:$S$53,MATCH(monster!C36,卡牌图鉴!$C$2:$C$53,0))</f>
        <v>1</v>
      </c>
      <c r="L36" s="15">
        <f>INDEX(卡牌图鉴!$H$2:$H$53,MATCH(monster!C36,卡牌图鉴!$C$2:$C$53,0))</f>
        <v>1.1000000000000001</v>
      </c>
      <c r="M36" s="15">
        <f>INDEX(卡牌图鉴!$L$2:$L$53,MATCH(monster!C36,卡牌图鉴!$C$2:$C$53,0))</f>
        <v>2</v>
      </c>
      <c r="N36" s="15">
        <f>INDEX(卡牌图鉴!$AD$2:$AD$53,MATCH(monster!C36,卡牌图鉴!$C$2:$C$53,0))</f>
        <v>8</v>
      </c>
      <c r="O36" s="78">
        <f>INDEX(卡牌图鉴!$K$2:$K$53,MATCH(monster!C36,卡牌图鉴!$C$2:$C$53,0))</f>
        <v>2</v>
      </c>
    </row>
    <row r="37" spans="1:15" x14ac:dyDescent="0.15">
      <c r="A37" s="31">
        <v>1025</v>
      </c>
      <c r="B37" s="31" t="s">
        <v>169</v>
      </c>
      <c r="C37" s="31">
        <v>1023</v>
      </c>
      <c r="D37" s="15">
        <f>INDEX(卡牌图鉴!$S$2:$S$53,MATCH(monster!C37,卡牌图鉴!$C$2:$C$53,0))</f>
        <v>1</v>
      </c>
      <c r="E37" s="31">
        <v>2</v>
      </c>
      <c r="F37" s="15">
        <f>INT(INDEX(卡牌图鉴!$AB$2:$AB$53,MATCH(monster!C37,卡牌图鉴!$C$2:$C$57,0)) * INDEX(数值规划表!$B$61:$B$71,monster!E37+1) * 血量调整)</f>
        <v>200</v>
      </c>
      <c r="G37" s="15">
        <f>ROUND(INDEX(卡牌图鉴!$AB$2:$AB$53,MATCH(monster!C37,卡牌图鉴!$C$2:$C$57,0)) * INDEX(数值规划表!$D$61:$D$71,monster!E37+1)*血量调整,2)</f>
        <v>6.02</v>
      </c>
      <c r="H37" s="15">
        <f>ROUND(INDEX(卡牌图鉴!$AA$2:$AA$53,MATCH(monster!C37,卡牌图鉴!$C$2:$C$53,0)) * INDEX(数值规划表!$C$61:$C$71,monster!E37+1),2)</f>
        <v>59.26</v>
      </c>
      <c r="I37" s="15">
        <f>ROUND(INDEX(卡牌图鉴!$AA$2:$AA$53,MATCH(monster!C37,卡牌图鉴!$C$2:$C$53,0)) * INDEX(数值规划表!$E$61:$E$71,monster!E37+1),2)</f>
        <v>1.78</v>
      </c>
      <c r="J37" s="15">
        <f>INDEX(卡牌图鉴!$J$2:$J$53,MATCH(monster!C37,卡牌图鉴!$C$2:$C$53,0))</f>
        <v>4</v>
      </c>
      <c r="K37" s="15">
        <f>INDEX(卡牌图鉴!$S$2:$S$53,MATCH(monster!C37,卡牌图鉴!$C$2:$C$53,0))</f>
        <v>1</v>
      </c>
      <c r="L37" s="15">
        <f>INDEX(卡牌图鉴!$H$2:$H$53,MATCH(monster!C37,卡牌图鉴!$C$2:$C$53,0))</f>
        <v>1.1000000000000001</v>
      </c>
      <c r="M37" s="15">
        <f>INDEX(卡牌图鉴!$L$2:$L$53,MATCH(monster!C37,卡牌图鉴!$C$2:$C$53,0))</f>
        <v>2</v>
      </c>
      <c r="N37" s="15">
        <f>INDEX(卡牌图鉴!$AD$2:$AD$53,MATCH(monster!C37,卡牌图鉴!$C$2:$C$53,0))</f>
        <v>8</v>
      </c>
      <c r="O37" s="78">
        <f>INDEX(卡牌图鉴!$K$2:$K$53,MATCH(monster!C37,卡牌图鉴!$C$2:$C$53,0))</f>
        <v>2</v>
      </c>
    </row>
    <row r="38" spans="1:15" x14ac:dyDescent="0.15">
      <c r="A38" s="31">
        <v>1026</v>
      </c>
      <c r="B38" s="31" t="s">
        <v>170</v>
      </c>
      <c r="C38" s="31">
        <v>1023</v>
      </c>
      <c r="D38" s="15">
        <f>INDEX(卡牌图鉴!$S$2:$S$53,MATCH(monster!C38,卡牌图鉴!$C$2:$C$53,0))</f>
        <v>1</v>
      </c>
      <c r="E38" s="31">
        <v>3</v>
      </c>
      <c r="F38" s="15">
        <f>INT(INDEX(卡牌图鉴!$AB$2:$AB$53,MATCH(monster!C38,卡牌图鉴!$C$2:$C$57,0)) * INDEX(数值规划表!$B$61:$B$71,monster!E38+1) * 血量调整)</f>
        <v>224</v>
      </c>
      <c r="G38" s="15">
        <f>ROUND(INDEX(卡牌图鉴!$AB$2:$AB$53,MATCH(monster!C38,卡牌图鉴!$C$2:$C$57,0)) * INDEX(数值规划表!$D$61:$D$71,monster!E38+1)*血量调整,2)</f>
        <v>6.74</v>
      </c>
      <c r="H38" s="15">
        <f>ROUND(INDEX(卡牌图鉴!$AA$2:$AA$53,MATCH(monster!C38,卡牌图鉴!$C$2:$C$53,0)) * INDEX(数值规划表!$C$61:$C$71,monster!E38+1),2)</f>
        <v>66.37</v>
      </c>
      <c r="I38" s="15">
        <f>ROUND(INDEX(卡牌图鉴!$AA$2:$AA$53,MATCH(monster!C38,卡牌图鉴!$C$2:$C$53,0)) * INDEX(数值规划表!$E$61:$E$71,monster!E38+1),2)</f>
        <v>1.99</v>
      </c>
      <c r="J38" s="15">
        <f>INDEX(卡牌图鉴!$J$2:$J$53,MATCH(monster!C38,卡牌图鉴!$C$2:$C$53,0))</f>
        <v>4</v>
      </c>
      <c r="K38" s="15">
        <f>INDEX(卡牌图鉴!$S$2:$S$53,MATCH(monster!C38,卡牌图鉴!$C$2:$C$53,0))</f>
        <v>1</v>
      </c>
      <c r="L38" s="15">
        <f>INDEX(卡牌图鉴!$H$2:$H$53,MATCH(monster!C38,卡牌图鉴!$C$2:$C$53,0))</f>
        <v>1.1000000000000001</v>
      </c>
      <c r="M38" s="15">
        <f>INDEX(卡牌图鉴!$L$2:$L$53,MATCH(monster!C38,卡牌图鉴!$C$2:$C$53,0))</f>
        <v>2</v>
      </c>
      <c r="N38" s="15">
        <f>INDEX(卡牌图鉴!$AD$2:$AD$53,MATCH(monster!C38,卡牌图鉴!$C$2:$C$53,0))</f>
        <v>8</v>
      </c>
      <c r="O38" s="78">
        <f>INDEX(卡牌图鉴!$K$2:$K$53,MATCH(monster!C38,卡牌图鉴!$C$2:$C$53,0))</f>
        <v>2</v>
      </c>
    </row>
    <row r="39" spans="1:15" x14ac:dyDescent="0.15">
      <c r="A39" s="31">
        <v>1027</v>
      </c>
      <c r="B39" s="31" t="s">
        <v>171</v>
      </c>
      <c r="C39" s="31">
        <v>1023</v>
      </c>
      <c r="D39" s="15">
        <f>INDEX(卡牌图鉴!$S$2:$S$53,MATCH(monster!C39,卡牌图鉴!$C$2:$C$53,0))</f>
        <v>1</v>
      </c>
      <c r="E39" s="31">
        <v>4</v>
      </c>
      <c r="F39" s="15">
        <f>INT(INDEX(卡牌图鉴!$AB$2:$AB$53,MATCH(monster!C39,卡牌图鉴!$C$2:$C$57,0)) * INDEX(数值规划表!$B$61:$B$71,monster!E39+1) * 血量调整)</f>
        <v>251</v>
      </c>
      <c r="G39" s="15">
        <f>ROUND(INDEX(卡牌图鉴!$AB$2:$AB$53,MATCH(monster!C39,卡牌图鉴!$C$2:$C$57,0)) * INDEX(数值规划表!$D$61:$D$71,monster!E39+1)*血量调整,2)</f>
        <v>7.55</v>
      </c>
      <c r="H39" s="15">
        <f>ROUND(INDEX(卡牌图鉴!$AA$2:$AA$53,MATCH(monster!C39,卡牌图鉴!$C$2:$C$53,0)) * INDEX(数值规划表!$C$61:$C$71,monster!E39+1),2)</f>
        <v>74.33</v>
      </c>
      <c r="I39" s="15">
        <f>ROUND(INDEX(卡牌图鉴!$AA$2:$AA$53,MATCH(monster!C39,卡牌图鉴!$C$2:$C$53,0)) * INDEX(数值规划表!$E$61:$E$71,monster!E39+1),2)</f>
        <v>2.23</v>
      </c>
      <c r="J39" s="15">
        <f>INDEX(卡牌图鉴!$J$2:$J$53,MATCH(monster!C39,卡牌图鉴!$C$2:$C$53,0))</f>
        <v>4</v>
      </c>
      <c r="K39" s="15">
        <f>INDEX(卡牌图鉴!$S$2:$S$53,MATCH(monster!C39,卡牌图鉴!$C$2:$C$53,0))</f>
        <v>1</v>
      </c>
      <c r="L39" s="15">
        <f>INDEX(卡牌图鉴!$H$2:$H$53,MATCH(monster!C39,卡牌图鉴!$C$2:$C$53,0))</f>
        <v>1.1000000000000001</v>
      </c>
      <c r="M39" s="15">
        <f>INDEX(卡牌图鉴!$L$2:$L$53,MATCH(monster!C39,卡牌图鉴!$C$2:$C$53,0))</f>
        <v>2</v>
      </c>
      <c r="N39" s="15">
        <f>INDEX(卡牌图鉴!$AD$2:$AD$53,MATCH(monster!C39,卡牌图鉴!$C$2:$C$53,0))</f>
        <v>8</v>
      </c>
      <c r="O39" s="78">
        <f>INDEX(卡牌图鉴!$K$2:$K$53,MATCH(monster!C39,卡牌图鉴!$C$2:$C$53,0))</f>
        <v>2</v>
      </c>
    </row>
    <row r="40" spans="1:15" x14ac:dyDescent="0.15">
      <c r="A40" s="31">
        <v>1028</v>
      </c>
      <c r="B40" s="31" t="s">
        <v>172</v>
      </c>
      <c r="C40" s="31">
        <v>1023</v>
      </c>
      <c r="D40" s="15">
        <f>INDEX(卡牌图鉴!$S$2:$S$53,MATCH(monster!C40,卡牌图鉴!$C$2:$C$53,0))</f>
        <v>1</v>
      </c>
      <c r="E40" s="31">
        <v>5</v>
      </c>
      <c r="F40" s="15">
        <f>INT(INDEX(卡牌图鉴!$AB$2:$AB$53,MATCH(monster!C40,卡牌图鉴!$C$2:$C$57,0)) * INDEX(数值规划表!$B$61:$B$71,monster!E40+1) * 血量调整)</f>
        <v>281</v>
      </c>
      <c r="G40" s="15">
        <f>ROUND(INDEX(卡牌图鉴!$AB$2:$AB$53,MATCH(monster!C40,卡牌图鉴!$C$2:$C$57,0)) * INDEX(数值规划表!$D$61:$D$71,monster!E40+1)*血量调整,2)</f>
        <v>8.4499999999999993</v>
      </c>
      <c r="H40" s="15">
        <f>ROUND(INDEX(卡牌图鉴!$AA$2:$AA$53,MATCH(monster!C40,卡牌图鉴!$C$2:$C$53,0)) * INDEX(数值规划表!$C$61:$C$71,monster!E40+1),2)</f>
        <v>83.25</v>
      </c>
      <c r="I40" s="15">
        <f>ROUND(INDEX(卡牌图鉴!$AA$2:$AA$53,MATCH(monster!C40,卡牌图鉴!$C$2:$C$53,0)) * INDEX(数值规划表!$E$61:$E$71,monster!E40+1),2)</f>
        <v>2.5</v>
      </c>
      <c r="J40" s="15">
        <f>INDEX(卡牌图鉴!$J$2:$J$53,MATCH(monster!C40,卡牌图鉴!$C$2:$C$53,0))</f>
        <v>4</v>
      </c>
      <c r="K40" s="15">
        <f>INDEX(卡牌图鉴!$S$2:$S$53,MATCH(monster!C40,卡牌图鉴!$C$2:$C$53,0))</f>
        <v>1</v>
      </c>
      <c r="L40" s="15">
        <f>INDEX(卡牌图鉴!$H$2:$H$53,MATCH(monster!C40,卡牌图鉴!$C$2:$C$53,0))</f>
        <v>1.1000000000000001</v>
      </c>
      <c r="M40" s="15">
        <f>INDEX(卡牌图鉴!$L$2:$L$53,MATCH(monster!C40,卡牌图鉴!$C$2:$C$53,0))</f>
        <v>2</v>
      </c>
      <c r="N40" s="15">
        <f>INDEX(卡牌图鉴!$AD$2:$AD$53,MATCH(monster!C40,卡牌图鉴!$C$2:$C$53,0))</f>
        <v>8</v>
      </c>
      <c r="O40" s="78">
        <f>INDEX(卡牌图鉴!$K$2:$K$53,MATCH(monster!C40,卡牌图鉴!$C$2:$C$53,0))</f>
        <v>2</v>
      </c>
    </row>
    <row r="41" spans="1:15" x14ac:dyDescent="0.15">
      <c r="A41" s="31">
        <v>1029</v>
      </c>
      <c r="B41" s="31" t="s">
        <v>173</v>
      </c>
      <c r="C41" s="31">
        <v>1023</v>
      </c>
      <c r="D41" s="15">
        <f>INDEX(卡牌图鉴!$S$2:$S$53,MATCH(monster!C41,卡牌图鉴!$C$2:$C$53,0))</f>
        <v>1</v>
      </c>
      <c r="E41" s="31">
        <v>6</v>
      </c>
      <c r="F41" s="15">
        <f>INT(INDEX(卡牌图鉴!$AB$2:$AB$53,MATCH(monster!C41,卡牌图鉴!$C$2:$C$57,0)) * INDEX(数值规划表!$B$61:$B$71,monster!E41+1) * 血量调整)</f>
        <v>315</v>
      </c>
      <c r="G41" s="15">
        <f>ROUND(INDEX(卡牌图鉴!$AB$2:$AB$53,MATCH(monster!C41,卡牌图鉴!$C$2:$C$57,0)) * INDEX(数值规划表!$D$61:$D$71,monster!E41+1)*血量调整,2)</f>
        <v>9.4700000000000006</v>
      </c>
      <c r="H41" s="15">
        <f>ROUND(INDEX(卡牌图鉴!$AA$2:$AA$53,MATCH(monster!C41,卡牌图鉴!$C$2:$C$53,0)) * INDEX(数值规划表!$C$61:$C$71,monster!E41+1),2)</f>
        <v>93.24</v>
      </c>
      <c r="I41" s="15">
        <f>ROUND(INDEX(卡牌图鉴!$AA$2:$AA$53,MATCH(monster!C41,卡牌图鉴!$C$2:$C$53,0)) * INDEX(数值规划表!$E$61:$E$71,monster!E41+1),2)</f>
        <v>2.8</v>
      </c>
      <c r="J41" s="15">
        <f>INDEX(卡牌图鉴!$J$2:$J$53,MATCH(monster!C41,卡牌图鉴!$C$2:$C$53,0))</f>
        <v>4</v>
      </c>
      <c r="K41" s="15">
        <f>INDEX(卡牌图鉴!$S$2:$S$53,MATCH(monster!C41,卡牌图鉴!$C$2:$C$53,0))</f>
        <v>1</v>
      </c>
      <c r="L41" s="15">
        <f>INDEX(卡牌图鉴!$H$2:$H$53,MATCH(monster!C41,卡牌图鉴!$C$2:$C$53,0))</f>
        <v>1.1000000000000001</v>
      </c>
      <c r="M41" s="15">
        <f>INDEX(卡牌图鉴!$L$2:$L$53,MATCH(monster!C41,卡牌图鉴!$C$2:$C$53,0))</f>
        <v>2</v>
      </c>
      <c r="N41" s="15">
        <f>INDEX(卡牌图鉴!$AD$2:$AD$53,MATCH(monster!C41,卡牌图鉴!$C$2:$C$53,0))</f>
        <v>8</v>
      </c>
      <c r="O41" s="78">
        <f>INDEX(卡牌图鉴!$K$2:$K$53,MATCH(monster!C41,卡牌图鉴!$C$2:$C$53,0))</f>
        <v>2</v>
      </c>
    </row>
    <row r="42" spans="1:15" x14ac:dyDescent="0.15">
      <c r="A42" s="31">
        <v>1030</v>
      </c>
      <c r="B42" s="31" t="s">
        <v>174</v>
      </c>
      <c r="C42" s="31">
        <v>1023</v>
      </c>
      <c r="D42" s="15">
        <f>INDEX(卡牌图鉴!$S$2:$S$53,MATCH(monster!C42,卡牌图鉴!$C$2:$C$53,0))</f>
        <v>1</v>
      </c>
      <c r="E42" s="31">
        <v>7</v>
      </c>
      <c r="F42" s="15">
        <f>INT(INDEX(卡牌图鉴!$AB$2:$AB$53,MATCH(monster!C42,卡牌图鉴!$C$2:$C$57,0)) * INDEX(数值规划表!$B$61:$B$71,monster!E42+1) * 血量调整)</f>
        <v>353</v>
      </c>
      <c r="G42" s="15">
        <f>ROUND(INDEX(卡牌图鉴!$AB$2:$AB$53,MATCH(monster!C42,卡牌图鉴!$C$2:$C$57,0)) * INDEX(数值规划表!$D$61:$D$71,monster!E42+1)*血量调整,2)</f>
        <v>10.6</v>
      </c>
      <c r="H42" s="15">
        <f>ROUND(INDEX(卡牌图鉴!$AA$2:$AA$53,MATCH(monster!C42,卡牌图鉴!$C$2:$C$53,0)) * INDEX(数值规划表!$C$61:$C$71,monster!E42+1),2)</f>
        <v>104.43</v>
      </c>
      <c r="I42" s="15">
        <f>ROUND(INDEX(卡牌图鉴!$AA$2:$AA$53,MATCH(monster!C42,卡牌图鉴!$C$2:$C$53,0)) * INDEX(数值规划表!$E$61:$E$71,monster!E42+1),2)</f>
        <v>3.13</v>
      </c>
      <c r="J42" s="15">
        <f>INDEX(卡牌图鉴!$J$2:$J$53,MATCH(monster!C42,卡牌图鉴!$C$2:$C$53,0))</f>
        <v>4</v>
      </c>
      <c r="K42" s="15">
        <f>INDEX(卡牌图鉴!$S$2:$S$53,MATCH(monster!C42,卡牌图鉴!$C$2:$C$53,0))</f>
        <v>1</v>
      </c>
      <c r="L42" s="15">
        <f>INDEX(卡牌图鉴!$H$2:$H$53,MATCH(monster!C42,卡牌图鉴!$C$2:$C$53,0))</f>
        <v>1.1000000000000001</v>
      </c>
      <c r="M42" s="15">
        <f>INDEX(卡牌图鉴!$L$2:$L$53,MATCH(monster!C42,卡牌图鉴!$C$2:$C$53,0))</f>
        <v>2</v>
      </c>
      <c r="N42" s="15">
        <f>INDEX(卡牌图鉴!$AD$2:$AD$53,MATCH(monster!C42,卡牌图鉴!$C$2:$C$53,0))</f>
        <v>8</v>
      </c>
      <c r="O42" s="78">
        <f>INDEX(卡牌图鉴!$K$2:$K$53,MATCH(monster!C42,卡牌图鉴!$C$2:$C$53,0))</f>
        <v>2</v>
      </c>
    </row>
    <row r="43" spans="1:15" x14ac:dyDescent="0.15">
      <c r="A43" s="31">
        <v>1031</v>
      </c>
      <c r="B43" s="31" t="s">
        <v>175</v>
      </c>
      <c r="C43" s="31">
        <v>1023</v>
      </c>
      <c r="D43" s="15">
        <f>INDEX(卡牌图鉴!$S$2:$S$53,MATCH(monster!C43,卡牌图鉴!$C$2:$C$53,0))</f>
        <v>1</v>
      </c>
      <c r="E43" s="31">
        <v>8</v>
      </c>
      <c r="F43" s="15">
        <f>INT(INDEX(卡牌图鉴!$AB$2:$AB$53,MATCH(monster!C43,卡牌图鉴!$C$2:$C$57,0)) * INDEX(数值规划表!$B$61:$B$71,monster!E43+1) * 血量调整)</f>
        <v>395</v>
      </c>
      <c r="G43" s="15">
        <f>ROUND(INDEX(卡牌图鉴!$AB$2:$AB$53,MATCH(monster!C43,卡牌图鉴!$C$2:$C$57,0)) * INDEX(数值规划表!$D$61:$D$71,monster!E43+1)*血量调整,2)</f>
        <v>11.88</v>
      </c>
      <c r="H43" s="15">
        <f>ROUND(INDEX(卡牌图鉴!$AA$2:$AA$53,MATCH(monster!C43,卡牌图鉴!$C$2:$C$53,0)) * INDEX(数值规划表!$C$61:$C$71,monster!E43+1),2)</f>
        <v>116.96</v>
      </c>
      <c r="I43" s="15">
        <f>ROUND(INDEX(卡牌图鉴!$AA$2:$AA$53,MATCH(monster!C43,卡牌图鉴!$C$2:$C$53,0)) * INDEX(数值规划表!$E$61:$E$71,monster!E43+1),2)</f>
        <v>3.51</v>
      </c>
      <c r="J43" s="15">
        <f>INDEX(卡牌图鉴!$J$2:$J$53,MATCH(monster!C43,卡牌图鉴!$C$2:$C$53,0))</f>
        <v>4</v>
      </c>
      <c r="K43" s="15">
        <f>INDEX(卡牌图鉴!$S$2:$S$53,MATCH(monster!C43,卡牌图鉴!$C$2:$C$53,0))</f>
        <v>1</v>
      </c>
      <c r="L43" s="15">
        <f>INDEX(卡牌图鉴!$H$2:$H$53,MATCH(monster!C43,卡牌图鉴!$C$2:$C$53,0))</f>
        <v>1.1000000000000001</v>
      </c>
      <c r="M43" s="15">
        <f>INDEX(卡牌图鉴!$L$2:$L$53,MATCH(monster!C43,卡牌图鉴!$C$2:$C$53,0))</f>
        <v>2</v>
      </c>
      <c r="N43" s="15">
        <f>INDEX(卡牌图鉴!$AD$2:$AD$53,MATCH(monster!C43,卡牌图鉴!$C$2:$C$53,0))</f>
        <v>8</v>
      </c>
      <c r="O43" s="78">
        <f>INDEX(卡牌图鉴!$K$2:$K$53,MATCH(monster!C43,卡牌图鉴!$C$2:$C$53,0))</f>
        <v>2</v>
      </c>
    </row>
    <row r="44" spans="1:15" x14ac:dyDescent="0.15">
      <c r="A44" s="31">
        <v>1032</v>
      </c>
      <c r="B44" s="31" t="s">
        <v>176</v>
      </c>
      <c r="C44" s="31">
        <v>1023</v>
      </c>
      <c r="D44" s="15">
        <f>INDEX(卡牌图鉴!$S$2:$S$53,MATCH(monster!C44,卡牌图鉴!$C$2:$C$53,0))</f>
        <v>1</v>
      </c>
      <c r="E44" s="31">
        <v>9</v>
      </c>
      <c r="F44" s="15">
        <f>INT(INDEX(卡牌图鉴!$AB$2:$AB$53,MATCH(monster!C44,卡牌图鉴!$C$2:$C$57,0)) * INDEX(数值规划表!$B$61:$B$71,monster!E44+1) * 血量调整)</f>
        <v>443</v>
      </c>
      <c r="G44" s="15">
        <f>ROUND(INDEX(卡牌图鉴!$AB$2:$AB$53,MATCH(monster!C44,卡牌图鉴!$C$2:$C$57,0)) * INDEX(数值规划表!$D$61:$D$71,monster!E44+1)*血量调整,2)</f>
        <v>13.3</v>
      </c>
      <c r="H44" s="15">
        <f>ROUND(INDEX(卡牌图鉴!$AA$2:$AA$53,MATCH(monster!C44,卡牌图鉴!$C$2:$C$53,0)) * INDEX(数值规划表!$C$61:$C$71,monster!E44+1),2)</f>
        <v>131</v>
      </c>
      <c r="I44" s="15">
        <f>ROUND(INDEX(卡牌图鉴!$AA$2:$AA$53,MATCH(monster!C44,卡牌图鉴!$C$2:$C$53,0)) * INDEX(数值规划表!$E$61:$E$71,monster!E44+1),2)</f>
        <v>3.93</v>
      </c>
      <c r="J44" s="15">
        <f>INDEX(卡牌图鉴!$J$2:$J$53,MATCH(monster!C44,卡牌图鉴!$C$2:$C$53,0))</f>
        <v>4</v>
      </c>
      <c r="K44" s="15">
        <f>INDEX(卡牌图鉴!$S$2:$S$53,MATCH(monster!C44,卡牌图鉴!$C$2:$C$53,0))</f>
        <v>1</v>
      </c>
      <c r="L44" s="15">
        <f>INDEX(卡牌图鉴!$H$2:$H$53,MATCH(monster!C44,卡牌图鉴!$C$2:$C$53,0))</f>
        <v>1.1000000000000001</v>
      </c>
      <c r="M44" s="15">
        <f>INDEX(卡牌图鉴!$L$2:$L$53,MATCH(monster!C44,卡牌图鉴!$C$2:$C$53,0))</f>
        <v>2</v>
      </c>
      <c r="N44" s="15">
        <f>INDEX(卡牌图鉴!$AD$2:$AD$53,MATCH(monster!C44,卡牌图鉴!$C$2:$C$53,0))</f>
        <v>8</v>
      </c>
      <c r="O44" s="78">
        <f>INDEX(卡牌图鉴!$K$2:$K$53,MATCH(monster!C44,卡牌图鉴!$C$2:$C$53,0))</f>
        <v>2</v>
      </c>
    </row>
    <row r="45" spans="1:15" x14ac:dyDescent="0.15">
      <c r="A45" s="31">
        <v>1033</v>
      </c>
      <c r="B45" s="31" t="s">
        <v>177</v>
      </c>
      <c r="C45" s="31">
        <v>1023</v>
      </c>
      <c r="D45" s="15">
        <f>INDEX(卡牌图鉴!$S$2:$S$53,MATCH(monster!C45,卡牌图鉴!$C$2:$C$53,0))</f>
        <v>1</v>
      </c>
      <c r="E45" s="31">
        <v>10</v>
      </c>
      <c r="F45" s="15">
        <f>INT(INDEX(卡牌图鉴!$AB$2:$AB$53,MATCH(monster!C45,卡牌图鉴!$C$2:$C$57,0)) * INDEX(数值规划表!$B$61:$B$71,monster!E45+1) * 血量调整)</f>
        <v>496</v>
      </c>
      <c r="G45" s="15">
        <f>ROUND(INDEX(卡牌图鉴!$AB$2:$AB$53,MATCH(monster!C45,卡牌图鉴!$C$2:$C$57,0)) * INDEX(数值规划表!$D$61:$D$71,monster!E45+1)*血量调整,2)</f>
        <v>14.9</v>
      </c>
      <c r="H45" s="15">
        <f>ROUND(INDEX(卡牌图鉴!$AA$2:$AA$53,MATCH(monster!C45,卡牌图鉴!$C$2:$C$53,0)) * INDEX(数值规划表!$C$61:$C$71,monster!E45+1),2)</f>
        <v>146.72</v>
      </c>
      <c r="I45" s="15">
        <f>ROUND(INDEX(卡牌图鉴!$AA$2:$AA$53,MATCH(monster!C45,卡牌图鉴!$C$2:$C$53,0)) * INDEX(数值规划表!$E$61:$E$71,monster!E45+1),2)</f>
        <v>4.4000000000000004</v>
      </c>
      <c r="J45" s="15">
        <f>INDEX(卡牌图鉴!$J$2:$J$53,MATCH(monster!C45,卡牌图鉴!$C$2:$C$53,0))</f>
        <v>4</v>
      </c>
      <c r="K45" s="15">
        <f>INDEX(卡牌图鉴!$S$2:$S$53,MATCH(monster!C45,卡牌图鉴!$C$2:$C$53,0))</f>
        <v>1</v>
      </c>
      <c r="L45" s="15">
        <f>INDEX(卡牌图鉴!$H$2:$H$53,MATCH(monster!C45,卡牌图鉴!$C$2:$C$53,0))</f>
        <v>1.1000000000000001</v>
      </c>
      <c r="M45" s="15">
        <f>INDEX(卡牌图鉴!$L$2:$L$53,MATCH(monster!C45,卡牌图鉴!$C$2:$C$53,0))</f>
        <v>2</v>
      </c>
      <c r="N45" s="15">
        <f>INDEX(卡牌图鉴!$AD$2:$AD$53,MATCH(monster!C45,卡牌图鉴!$C$2:$C$53,0))</f>
        <v>8</v>
      </c>
      <c r="O45" s="78">
        <f>INDEX(卡牌图鉴!$K$2:$K$53,MATCH(monster!C45,卡牌图鉴!$C$2:$C$53,0))</f>
        <v>2</v>
      </c>
    </row>
    <row r="46" spans="1:15" x14ac:dyDescent="0.15">
      <c r="A46" s="31">
        <v>1406</v>
      </c>
      <c r="B46" s="31" t="s">
        <v>465</v>
      </c>
      <c r="C46" s="31">
        <v>1406</v>
      </c>
      <c r="D46" s="15">
        <f>INDEX(卡牌图鉴!$S$2:$S$53,MATCH(monster!C46,卡牌图鉴!$C$2:$C$53,0))</f>
        <v>1</v>
      </c>
      <c r="E46" s="31">
        <v>0</v>
      </c>
      <c r="F46" s="15">
        <f>INT(INDEX(卡牌图鉴!$AB$2:$AB$53,MATCH(monster!C46,卡牌图鉴!$C$2:$C$57,0)) * INDEX(数值规划表!$B$61:$B$71,monster!E46+1) * 血量调整)</f>
        <v>101</v>
      </c>
      <c r="G46" s="15">
        <f>ROUND(INDEX(卡牌图鉴!$AB$2:$AB$53,MATCH(monster!C46,卡牌图鉴!$C$2:$C$57,0)) * INDEX(数值规划表!$D$61:$D$71,monster!E46+1)*血量调整,2)</f>
        <v>3.04</v>
      </c>
      <c r="H46" s="15">
        <f>ROUND(INDEX(卡牌图鉴!$AA$2:$AA$53,MATCH(monster!C46,卡牌图鉴!$C$2:$C$53,0)) * INDEX(数值规划表!$C$61:$C$71,monster!E46+1),2)</f>
        <v>47.15</v>
      </c>
      <c r="I46" s="15">
        <f>ROUND(INDEX(卡牌图鉴!$AA$2:$AA$53,MATCH(monster!C46,卡牌图鉴!$C$2:$C$53,0)) * INDEX(数值规划表!$E$61:$E$71,monster!E46+1),2)</f>
        <v>1.41</v>
      </c>
      <c r="J46" s="15">
        <f>INDEX(卡牌图鉴!$J$2:$J$53,MATCH(monster!C46,卡牌图鉴!$C$2:$C$53,0))</f>
        <v>5</v>
      </c>
      <c r="K46" s="15">
        <f>INDEX(卡牌图鉴!$S$2:$S$53,MATCH(monster!C46,卡牌图鉴!$C$2:$C$53,0))</f>
        <v>1</v>
      </c>
      <c r="L46" s="15">
        <f>INDEX(卡牌图鉴!$H$2:$H$53,MATCH(monster!C46,卡牌图鉴!$C$2:$C$53,0))</f>
        <v>1.4</v>
      </c>
      <c r="M46" s="15">
        <f>INDEX(卡牌图鉴!$L$2:$L$53,MATCH(monster!C46,卡牌图鉴!$C$2:$C$53,0))</f>
        <v>3</v>
      </c>
      <c r="N46" s="15">
        <f>INDEX(卡牌图鉴!$AD$2:$AD$53,MATCH(monster!C46,卡牌图鉴!$C$2:$C$53,0))</f>
        <v>8</v>
      </c>
      <c r="O46" s="78">
        <f>INDEX(卡牌图鉴!$K$2:$K$53,MATCH(monster!C46,卡牌图鉴!$C$2:$C$53,0))</f>
        <v>3</v>
      </c>
    </row>
    <row r="47" spans="1:15" x14ac:dyDescent="0.15">
      <c r="A47" s="31">
        <v>1407</v>
      </c>
      <c r="B47" s="31" t="s">
        <v>1410</v>
      </c>
      <c r="C47" s="31">
        <v>1406</v>
      </c>
      <c r="D47" s="15">
        <f>INDEX(卡牌图鉴!$S$2:$S$53,MATCH(monster!C47,卡牌图鉴!$C$2:$C$53,0))</f>
        <v>1</v>
      </c>
      <c r="E47" s="31">
        <v>1</v>
      </c>
      <c r="F47" s="15">
        <f>INT(INDEX(卡牌图鉴!$AB$2:$AB$53,MATCH(monster!C47,卡牌图鉴!$C$2:$C$57,0)) * INDEX(数值规划表!$B$61:$B$71,monster!E47+1) * 血量调整)</f>
        <v>113</v>
      </c>
      <c r="G47" s="15">
        <f>ROUND(INDEX(卡牌图鉴!$AB$2:$AB$53,MATCH(monster!C47,卡牌图鉴!$C$2:$C$57,0)) * INDEX(数值规划表!$D$61:$D$71,monster!E47+1)*血量调整,2)</f>
        <v>3.4</v>
      </c>
      <c r="H47" s="15">
        <f>ROUND(INDEX(卡牌图鉴!$AA$2:$AA$53,MATCH(monster!C47,卡牌图鉴!$C$2:$C$53,0)) * INDEX(数值规划表!$C$61:$C$71,monster!E47+1),2)</f>
        <v>52.81</v>
      </c>
      <c r="I47" s="15">
        <f>ROUND(INDEX(卡牌图鉴!$AA$2:$AA$53,MATCH(monster!C47,卡牌图鉴!$C$2:$C$53,0)) * INDEX(数值规划表!$E$61:$E$71,monster!E47+1),2)</f>
        <v>1.58</v>
      </c>
      <c r="J47" s="15">
        <f>INDEX(卡牌图鉴!$J$2:$J$53,MATCH(monster!C47,卡牌图鉴!$C$2:$C$53,0))</f>
        <v>5</v>
      </c>
      <c r="K47" s="15">
        <f>INDEX(卡牌图鉴!$S$2:$S$53,MATCH(monster!C47,卡牌图鉴!$C$2:$C$53,0))</f>
        <v>1</v>
      </c>
      <c r="L47" s="15">
        <f>INDEX(卡牌图鉴!$H$2:$H$53,MATCH(monster!C47,卡牌图鉴!$C$2:$C$53,0))</f>
        <v>1.4</v>
      </c>
      <c r="M47" s="15">
        <f>INDEX(卡牌图鉴!$L$2:$L$53,MATCH(monster!C47,卡牌图鉴!$C$2:$C$53,0))</f>
        <v>3</v>
      </c>
      <c r="N47" s="15">
        <f>INDEX(卡牌图鉴!$AD$2:$AD$53,MATCH(monster!C47,卡牌图鉴!$C$2:$C$53,0))</f>
        <v>8</v>
      </c>
      <c r="O47" s="78">
        <f>INDEX(卡牌图鉴!$K$2:$K$53,MATCH(monster!C47,卡牌图鉴!$C$2:$C$53,0))</f>
        <v>3</v>
      </c>
    </row>
    <row r="48" spans="1:15" x14ac:dyDescent="0.15">
      <c r="A48" s="31">
        <v>1408</v>
      </c>
      <c r="B48" s="31" t="s">
        <v>466</v>
      </c>
      <c r="C48" s="31">
        <v>1406</v>
      </c>
      <c r="D48" s="15">
        <f>INDEX(卡牌图鉴!$S$2:$S$53,MATCH(monster!C48,卡牌图鉴!$C$2:$C$53,0))</f>
        <v>1</v>
      </c>
      <c r="E48" s="31">
        <v>2</v>
      </c>
      <c r="F48" s="15">
        <f>INT(INDEX(卡牌图鉴!$AB$2:$AB$53,MATCH(monster!C48,卡牌图鉴!$C$2:$C$57,0)) * INDEX(数值规划表!$B$61:$B$71,monster!E48+1) * 血量调整)</f>
        <v>127</v>
      </c>
      <c r="G48" s="15">
        <f>ROUND(INDEX(卡牌图鉴!$AB$2:$AB$53,MATCH(monster!C48,卡牌图鉴!$C$2:$C$57,0)) * INDEX(数值规划表!$D$61:$D$71,monster!E48+1)*血量调整,2)</f>
        <v>3.81</v>
      </c>
      <c r="H48" s="15">
        <f>ROUND(INDEX(卡牌图鉴!$AA$2:$AA$53,MATCH(monster!C48,卡牌图鉴!$C$2:$C$53,0)) * INDEX(数值规划表!$C$61:$C$71,monster!E48+1),2)</f>
        <v>59.14</v>
      </c>
      <c r="I48" s="15">
        <f>ROUND(INDEX(卡牌图鉴!$AA$2:$AA$53,MATCH(monster!C48,卡牌图鉴!$C$2:$C$53,0)) * INDEX(数值规划表!$E$61:$E$71,monster!E48+1),2)</f>
        <v>1.77</v>
      </c>
      <c r="J48" s="15">
        <f>INDEX(卡牌图鉴!$J$2:$J$53,MATCH(monster!C48,卡牌图鉴!$C$2:$C$53,0))</f>
        <v>5</v>
      </c>
      <c r="K48" s="15">
        <f>INDEX(卡牌图鉴!$S$2:$S$53,MATCH(monster!C48,卡牌图鉴!$C$2:$C$53,0))</f>
        <v>1</v>
      </c>
      <c r="L48" s="15">
        <f>INDEX(卡牌图鉴!$H$2:$H$53,MATCH(monster!C48,卡牌图鉴!$C$2:$C$53,0))</f>
        <v>1.4</v>
      </c>
      <c r="M48" s="15">
        <f>INDEX(卡牌图鉴!$L$2:$L$53,MATCH(monster!C48,卡牌图鉴!$C$2:$C$53,0))</f>
        <v>3</v>
      </c>
      <c r="N48" s="15">
        <f>INDEX(卡牌图鉴!$AD$2:$AD$53,MATCH(monster!C48,卡牌图鉴!$C$2:$C$53,0))</f>
        <v>8</v>
      </c>
      <c r="O48" s="78">
        <f>INDEX(卡牌图鉴!$K$2:$K$53,MATCH(monster!C48,卡牌图鉴!$C$2:$C$53,0))</f>
        <v>3</v>
      </c>
    </row>
    <row r="49" spans="1:15" x14ac:dyDescent="0.15">
      <c r="A49" s="31">
        <v>1409</v>
      </c>
      <c r="B49" s="31" t="s">
        <v>467</v>
      </c>
      <c r="C49" s="31">
        <v>1406</v>
      </c>
      <c r="D49" s="15">
        <f>INDEX(卡牌图鉴!$S$2:$S$53,MATCH(monster!C49,卡牌图鉴!$C$2:$C$53,0))</f>
        <v>1</v>
      </c>
      <c r="E49" s="31">
        <v>3</v>
      </c>
      <c r="F49" s="15">
        <f>INT(INDEX(卡牌图鉴!$AB$2:$AB$53,MATCH(monster!C49,卡牌图鉴!$C$2:$C$57,0)) * INDEX(数值规划表!$B$61:$B$71,monster!E49+1) * 血量调整)</f>
        <v>142</v>
      </c>
      <c r="G49" s="15">
        <f>ROUND(INDEX(卡牌图鉴!$AB$2:$AB$53,MATCH(monster!C49,卡牌图鉴!$C$2:$C$57,0)) * INDEX(数值规划表!$D$61:$D$71,monster!E49+1)*血量调整,2)</f>
        <v>4.2699999999999996</v>
      </c>
      <c r="H49" s="15">
        <f>ROUND(INDEX(卡牌图鉴!$AA$2:$AA$53,MATCH(monster!C49,卡牌图鉴!$C$2:$C$53,0)) * INDEX(数值规划表!$C$61:$C$71,monster!E49+1),2)</f>
        <v>66.239999999999995</v>
      </c>
      <c r="I49" s="15">
        <f>ROUND(INDEX(卡牌图鉴!$AA$2:$AA$53,MATCH(monster!C49,卡牌图鉴!$C$2:$C$53,0)) * INDEX(数值规划表!$E$61:$E$71,monster!E49+1),2)</f>
        <v>1.99</v>
      </c>
      <c r="J49" s="15">
        <f>INDEX(卡牌图鉴!$J$2:$J$53,MATCH(monster!C49,卡牌图鉴!$C$2:$C$53,0))</f>
        <v>5</v>
      </c>
      <c r="K49" s="15">
        <f>INDEX(卡牌图鉴!$S$2:$S$53,MATCH(monster!C49,卡牌图鉴!$C$2:$C$53,0))</f>
        <v>1</v>
      </c>
      <c r="L49" s="15">
        <f>INDEX(卡牌图鉴!$H$2:$H$53,MATCH(monster!C49,卡牌图鉴!$C$2:$C$53,0))</f>
        <v>1.4</v>
      </c>
      <c r="M49" s="15">
        <f>INDEX(卡牌图鉴!$L$2:$L$53,MATCH(monster!C49,卡牌图鉴!$C$2:$C$53,0))</f>
        <v>3</v>
      </c>
      <c r="N49" s="15">
        <f>INDEX(卡牌图鉴!$AD$2:$AD$53,MATCH(monster!C49,卡牌图鉴!$C$2:$C$53,0))</f>
        <v>8</v>
      </c>
      <c r="O49" s="78">
        <f>INDEX(卡牌图鉴!$K$2:$K$53,MATCH(monster!C49,卡牌图鉴!$C$2:$C$53,0))</f>
        <v>3</v>
      </c>
    </row>
    <row r="50" spans="1:15" x14ac:dyDescent="0.15">
      <c r="A50" s="31">
        <v>1410</v>
      </c>
      <c r="B50" s="31" t="s">
        <v>468</v>
      </c>
      <c r="C50" s="31">
        <v>1406</v>
      </c>
      <c r="D50" s="15">
        <f>INDEX(卡牌图鉴!$S$2:$S$53,MATCH(monster!C50,卡牌图鉴!$C$2:$C$53,0))</f>
        <v>1</v>
      </c>
      <c r="E50" s="31">
        <v>4</v>
      </c>
      <c r="F50" s="15">
        <f>INT(INDEX(卡牌图鉴!$AB$2:$AB$53,MATCH(monster!C50,卡牌图鉴!$C$2:$C$57,0)) * INDEX(数值规划表!$B$61:$B$71,monster!E50+1) * 血量调整)</f>
        <v>159</v>
      </c>
      <c r="G50" s="15">
        <f>ROUND(INDEX(卡牌图鉴!$AB$2:$AB$53,MATCH(monster!C50,卡牌图鉴!$C$2:$C$57,0)) * INDEX(数值规划表!$D$61:$D$71,monster!E50+1)*血量调整,2)</f>
        <v>4.78</v>
      </c>
      <c r="H50" s="15">
        <f>ROUND(INDEX(卡牌图鉴!$AA$2:$AA$53,MATCH(monster!C50,卡牌图鉴!$C$2:$C$53,0)) * INDEX(数值规划表!$C$61:$C$71,monster!E50+1),2)</f>
        <v>74.19</v>
      </c>
      <c r="I50" s="15">
        <f>ROUND(INDEX(卡牌图鉴!$AA$2:$AA$53,MATCH(monster!C50,卡牌图鉴!$C$2:$C$53,0)) * INDEX(数值规划表!$E$61:$E$71,monster!E50+1),2)</f>
        <v>2.23</v>
      </c>
      <c r="J50" s="15">
        <f>INDEX(卡牌图鉴!$J$2:$J$53,MATCH(monster!C50,卡牌图鉴!$C$2:$C$53,0))</f>
        <v>5</v>
      </c>
      <c r="K50" s="15">
        <f>INDEX(卡牌图鉴!$S$2:$S$53,MATCH(monster!C50,卡牌图鉴!$C$2:$C$53,0))</f>
        <v>1</v>
      </c>
      <c r="L50" s="15">
        <f>INDEX(卡牌图鉴!$H$2:$H$53,MATCH(monster!C50,卡牌图鉴!$C$2:$C$53,0))</f>
        <v>1.4</v>
      </c>
      <c r="M50" s="15">
        <f>INDEX(卡牌图鉴!$L$2:$L$53,MATCH(monster!C50,卡牌图鉴!$C$2:$C$53,0))</f>
        <v>3</v>
      </c>
      <c r="N50" s="15">
        <f>INDEX(卡牌图鉴!$AD$2:$AD$53,MATCH(monster!C50,卡牌图鉴!$C$2:$C$53,0))</f>
        <v>8</v>
      </c>
      <c r="O50" s="78">
        <f>INDEX(卡牌图鉴!$K$2:$K$53,MATCH(monster!C50,卡牌图鉴!$C$2:$C$53,0))</f>
        <v>3</v>
      </c>
    </row>
    <row r="51" spans="1:15" x14ac:dyDescent="0.15">
      <c r="A51" s="31">
        <v>1411</v>
      </c>
      <c r="B51" s="31" t="s">
        <v>469</v>
      </c>
      <c r="C51" s="31">
        <v>1406</v>
      </c>
      <c r="D51" s="15">
        <f>INDEX(卡牌图鉴!$S$2:$S$53,MATCH(monster!C51,卡牌图鉴!$C$2:$C$53,0))</f>
        <v>1</v>
      </c>
      <c r="E51" s="31">
        <v>5</v>
      </c>
      <c r="F51" s="15">
        <f>INT(INDEX(卡牌图鉴!$AB$2:$AB$53,MATCH(monster!C51,卡牌图鉴!$C$2:$C$57,0)) * INDEX(数值规划表!$B$61:$B$71,monster!E51+1) * 血量调整)</f>
        <v>178</v>
      </c>
      <c r="G51" s="15">
        <f>ROUND(INDEX(卡牌图鉴!$AB$2:$AB$53,MATCH(monster!C51,卡牌图鉴!$C$2:$C$57,0)) * INDEX(数值规划表!$D$61:$D$71,monster!E51+1)*血量调整,2)</f>
        <v>5.36</v>
      </c>
      <c r="H51" s="15">
        <f>ROUND(INDEX(卡牌图鉴!$AA$2:$AA$53,MATCH(monster!C51,卡牌图鉴!$C$2:$C$53,0)) * INDEX(数值规划表!$C$61:$C$71,monster!E51+1),2)</f>
        <v>83.09</v>
      </c>
      <c r="I51" s="15">
        <f>ROUND(INDEX(卡牌图鉴!$AA$2:$AA$53,MATCH(monster!C51,卡牌图鉴!$C$2:$C$53,0)) * INDEX(数值规划表!$E$61:$E$71,monster!E51+1),2)</f>
        <v>2.4900000000000002</v>
      </c>
      <c r="J51" s="15">
        <f>INDEX(卡牌图鉴!$J$2:$J$53,MATCH(monster!C51,卡牌图鉴!$C$2:$C$53,0))</f>
        <v>5</v>
      </c>
      <c r="K51" s="15">
        <f>INDEX(卡牌图鉴!$S$2:$S$53,MATCH(monster!C51,卡牌图鉴!$C$2:$C$53,0))</f>
        <v>1</v>
      </c>
      <c r="L51" s="15">
        <f>INDEX(卡牌图鉴!$H$2:$H$53,MATCH(monster!C51,卡牌图鉴!$C$2:$C$53,0))</f>
        <v>1.4</v>
      </c>
      <c r="M51" s="15">
        <f>INDEX(卡牌图鉴!$L$2:$L$53,MATCH(monster!C51,卡牌图鉴!$C$2:$C$53,0))</f>
        <v>3</v>
      </c>
      <c r="N51" s="15">
        <f>INDEX(卡牌图鉴!$AD$2:$AD$53,MATCH(monster!C51,卡牌图鉴!$C$2:$C$53,0))</f>
        <v>8</v>
      </c>
      <c r="O51" s="78">
        <f>INDEX(卡牌图鉴!$K$2:$K$53,MATCH(monster!C51,卡牌图鉴!$C$2:$C$53,0))</f>
        <v>3</v>
      </c>
    </row>
    <row r="52" spans="1:15" x14ac:dyDescent="0.15">
      <c r="A52" s="31">
        <v>1412</v>
      </c>
      <c r="B52" s="31" t="s">
        <v>470</v>
      </c>
      <c r="C52" s="31">
        <v>1406</v>
      </c>
      <c r="D52" s="15">
        <f>INDEX(卡牌图鉴!$S$2:$S$53,MATCH(monster!C52,卡牌图鉴!$C$2:$C$53,0))</f>
        <v>1</v>
      </c>
      <c r="E52" s="31">
        <v>6</v>
      </c>
      <c r="F52" s="15">
        <f>INT(INDEX(卡牌图鉴!$AB$2:$AB$53,MATCH(monster!C52,卡牌图鉴!$C$2:$C$57,0)) * INDEX(数值规划表!$B$61:$B$71,monster!E52+1) * 血量调整)</f>
        <v>199</v>
      </c>
      <c r="G52" s="15">
        <f>ROUND(INDEX(卡牌图鉴!$AB$2:$AB$53,MATCH(monster!C52,卡牌图鉴!$C$2:$C$57,0)) * INDEX(数值规划表!$D$61:$D$71,monster!E52+1)*血量调整,2)</f>
        <v>6</v>
      </c>
      <c r="H52" s="15">
        <f>ROUND(INDEX(卡牌图鉴!$AA$2:$AA$53,MATCH(monster!C52,卡牌图鉴!$C$2:$C$53,0)) * INDEX(数值规划表!$C$61:$C$71,monster!E52+1),2)</f>
        <v>93.07</v>
      </c>
      <c r="I52" s="15">
        <f>ROUND(INDEX(卡牌图鉴!$AA$2:$AA$53,MATCH(monster!C52,卡牌图鉴!$C$2:$C$53,0)) * INDEX(数值规划表!$E$61:$E$71,monster!E52+1),2)</f>
        <v>2.79</v>
      </c>
      <c r="J52" s="15">
        <f>INDEX(卡牌图鉴!$J$2:$J$53,MATCH(monster!C52,卡牌图鉴!$C$2:$C$53,0))</f>
        <v>5</v>
      </c>
      <c r="K52" s="15">
        <f>INDEX(卡牌图鉴!$S$2:$S$53,MATCH(monster!C52,卡牌图鉴!$C$2:$C$53,0))</f>
        <v>1</v>
      </c>
      <c r="L52" s="15">
        <f>INDEX(卡牌图鉴!$H$2:$H$53,MATCH(monster!C52,卡牌图鉴!$C$2:$C$53,0))</f>
        <v>1.4</v>
      </c>
      <c r="M52" s="15">
        <f>INDEX(卡牌图鉴!$L$2:$L$53,MATCH(monster!C52,卡牌图鉴!$C$2:$C$53,0))</f>
        <v>3</v>
      </c>
      <c r="N52" s="15">
        <f>INDEX(卡牌图鉴!$AD$2:$AD$53,MATCH(monster!C52,卡牌图鉴!$C$2:$C$53,0))</f>
        <v>8</v>
      </c>
      <c r="O52" s="78">
        <f>INDEX(卡牌图鉴!$K$2:$K$53,MATCH(monster!C52,卡牌图鉴!$C$2:$C$53,0))</f>
        <v>3</v>
      </c>
    </row>
    <row r="53" spans="1:15" x14ac:dyDescent="0.15">
      <c r="A53" s="31">
        <v>1413</v>
      </c>
      <c r="B53" s="31" t="s">
        <v>471</v>
      </c>
      <c r="C53" s="31">
        <v>1406</v>
      </c>
      <c r="D53" s="15">
        <f>INDEX(卡牌图鉴!$S$2:$S$53,MATCH(monster!C53,卡牌图鉴!$C$2:$C$53,0))</f>
        <v>1</v>
      </c>
      <c r="E53" s="31">
        <v>7</v>
      </c>
      <c r="F53" s="15">
        <f>INT(INDEX(卡牌图鉴!$AB$2:$AB$53,MATCH(monster!C53,卡牌图鉴!$C$2:$C$57,0)) * INDEX(数值规划表!$B$61:$B$71,monster!E53+1) * 血量调整)</f>
        <v>223</v>
      </c>
      <c r="G53" s="15">
        <f>ROUND(INDEX(卡牌图鉴!$AB$2:$AB$53,MATCH(monster!C53,卡牌图鉴!$C$2:$C$57,0)) * INDEX(数值规划表!$D$61:$D$71,monster!E53+1)*血量调整,2)</f>
        <v>6.72</v>
      </c>
      <c r="H53" s="15">
        <f>ROUND(INDEX(卡牌图鉴!$AA$2:$AA$53,MATCH(monster!C53,卡牌图鉴!$C$2:$C$53,0)) * INDEX(数值规划表!$C$61:$C$71,monster!E53+1),2)</f>
        <v>104.23</v>
      </c>
      <c r="I53" s="15">
        <f>ROUND(INDEX(卡牌图鉴!$AA$2:$AA$53,MATCH(monster!C53,卡牌图鉴!$C$2:$C$53,0)) * INDEX(数值规划表!$E$61:$E$71,monster!E53+1),2)</f>
        <v>3.13</v>
      </c>
      <c r="J53" s="15">
        <f>INDEX(卡牌图鉴!$J$2:$J$53,MATCH(monster!C53,卡牌图鉴!$C$2:$C$53,0))</f>
        <v>5</v>
      </c>
      <c r="K53" s="15">
        <f>INDEX(卡牌图鉴!$S$2:$S$53,MATCH(monster!C53,卡牌图鉴!$C$2:$C$53,0))</f>
        <v>1</v>
      </c>
      <c r="L53" s="15">
        <f>INDEX(卡牌图鉴!$H$2:$H$53,MATCH(monster!C53,卡牌图鉴!$C$2:$C$53,0))</f>
        <v>1.4</v>
      </c>
      <c r="M53" s="15">
        <f>INDEX(卡牌图鉴!$L$2:$L$53,MATCH(monster!C53,卡牌图鉴!$C$2:$C$53,0))</f>
        <v>3</v>
      </c>
      <c r="N53" s="15">
        <f>INDEX(卡牌图鉴!$AD$2:$AD$53,MATCH(monster!C53,卡牌图鉴!$C$2:$C$53,0))</f>
        <v>8</v>
      </c>
      <c r="O53" s="78">
        <f>INDEX(卡牌图鉴!$K$2:$K$53,MATCH(monster!C53,卡牌图鉴!$C$2:$C$53,0))</f>
        <v>3</v>
      </c>
    </row>
    <row r="54" spans="1:15" x14ac:dyDescent="0.15">
      <c r="A54" s="31">
        <v>1414</v>
      </c>
      <c r="B54" s="31" t="s">
        <v>472</v>
      </c>
      <c r="C54" s="31">
        <v>1406</v>
      </c>
      <c r="D54" s="15">
        <f>INDEX(卡牌图鉴!$S$2:$S$53,MATCH(monster!C54,卡牌图鉴!$C$2:$C$53,0))</f>
        <v>1</v>
      </c>
      <c r="E54" s="31">
        <v>8</v>
      </c>
      <c r="F54" s="15">
        <f>INT(INDEX(卡牌图鉴!$AB$2:$AB$53,MATCH(monster!C54,卡牌图鉴!$C$2:$C$57,0)) * INDEX(数值规划表!$B$61:$B$71,monster!E54+1) * 血量调整)</f>
        <v>250</v>
      </c>
      <c r="G54" s="15">
        <f>ROUND(INDEX(卡牌图鉴!$AB$2:$AB$53,MATCH(monster!C54,卡牌图鉴!$C$2:$C$57,0)) * INDEX(数值规划表!$D$61:$D$71,monster!E54+1)*血量调整,2)</f>
        <v>7.53</v>
      </c>
      <c r="H54" s="15">
        <f>ROUND(INDEX(卡牌图鉴!$AA$2:$AA$53,MATCH(monster!C54,卡牌图鉴!$C$2:$C$53,0)) * INDEX(数值规划表!$C$61:$C$71,monster!E54+1),2)</f>
        <v>116.74</v>
      </c>
      <c r="I54" s="15">
        <f>ROUND(INDEX(卡牌图鉴!$AA$2:$AA$53,MATCH(monster!C54,卡牌图鉴!$C$2:$C$53,0)) * INDEX(数值规划表!$E$61:$E$71,monster!E54+1),2)</f>
        <v>3.5</v>
      </c>
      <c r="J54" s="15">
        <f>INDEX(卡牌图鉴!$J$2:$J$53,MATCH(monster!C54,卡牌图鉴!$C$2:$C$53,0))</f>
        <v>5</v>
      </c>
      <c r="K54" s="15">
        <f>INDEX(卡牌图鉴!$S$2:$S$53,MATCH(monster!C54,卡牌图鉴!$C$2:$C$53,0))</f>
        <v>1</v>
      </c>
      <c r="L54" s="15">
        <f>INDEX(卡牌图鉴!$H$2:$H$53,MATCH(monster!C54,卡牌图鉴!$C$2:$C$53,0))</f>
        <v>1.4</v>
      </c>
      <c r="M54" s="15">
        <f>INDEX(卡牌图鉴!$L$2:$L$53,MATCH(monster!C54,卡牌图鉴!$C$2:$C$53,0))</f>
        <v>3</v>
      </c>
      <c r="N54" s="15">
        <f>INDEX(卡牌图鉴!$AD$2:$AD$53,MATCH(monster!C54,卡牌图鉴!$C$2:$C$53,0))</f>
        <v>8</v>
      </c>
      <c r="O54" s="78">
        <f>INDEX(卡牌图鉴!$K$2:$K$53,MATCH(monster!C54,卡牌图鉴!$C$2:$C$53,0))</f>
        <v>3</v>
      </c>
    </row>
    <row r="55" spans="1:15" x14ac:dyDescent="0.15">
      <c r="A55" s="31">
        <v>1415</v>
      </c>
      <c r="B55" s="31" t="s">
        <v>473</v>
      </c>
      <c r="C55" s="31">
        <v>1406</v>
      </c>
      <c r="D55" s="15">
        <f>INDEX(卡牌图鉴!$S$2:$S$53,MATCH(monster!C55,卡牌图鉴!$C$2:$C$53,0))</f>
        <v>1</v>
      </c>
      <c r="E55" s="31">
        <v>9</v>
      </c>
      <c r="F55" s="15">
        <f>INT(INDEX(卡牌图鉴!$AB$2:$AB$53,MATCH(monster!C55,卡牌图鉴!$C$2:$C$57,0)) * INDEX(数值规划表!$B$61:$B$71,monster!E55+1) * 血量调整)</f>
        <v>280</v>
      </c>
      <c r="G55" s="15">
        <f>ROUND(INDEX(卡牌图鉴!$AB$2:$AB$53,MATCH(monster!C55,卡牌图鉴!$C$2:$C$57,0)) * INDEX(数值规划表!$D$61:$D$71,monster!E55+1)*血量调整,2)</f>
        <v>8.43</v>
      </c>
      <c r="H55" s="15">
        <f>ROUND(INDEX(卡牌图鉴!$AA$2:$AA$53,MATCH(monster!C55,卡牌图鉴!$C$2:$C$53,0)) * INDEX(数值规划表!$C$61:$C$71,monster!E55+1),2)</f>
        <v>130.75</v>
      </c>
      <c r="I55" s="15">
        <f>ROUND(INDEX(卡牌图鉴!$AA$2:$AA$53,MATCH(monster!C55,卡牌图鉴!$C$2:$C$53,0)) * INDEX(数值规划表!$E$61:$E$71,monster!E55+1),2)</f>
        <v>3.92</v>
      </c>
      <c r="J55" s="15">
        <f>INDEX(卡牌图鉴!$J$2:$J$53,MATCH(monster!C55,卡牌图鉴!$C$2:$C$53,0))</f>
        <v>5</v>
      </c>
      <c r="K55" s="15">
        <f>INDEX(卡牌图鉴!$S$2:$S$53,MATCH(monster!C55,卡牌图鉴!$C$2:$C$53,0))</f>
        <v>1</v>
      </c>
      <c r="L55" s="15">
        <f>INDEX(卡牌图鉴!$H$2:$H$53,MATCH(monster!C55,卡牌图鉴!$C$2:$C$53,0))</f>
        <v>1.4</v>
      </c>
      <c r="M55" s="15">
        <f>INDEX(卡牌图鉴!$L$2:$L$53,MATCH(monster!C55,卡牌图鉴!$C$2:$C$53,0))</f>
        <v>3</v>
      </c>
      <c r="N55" s="15">
        <f>INDEX(卡牌图鉴!$AD$2:$AD$53,MATCH(monster!C55,卡牌图鉴!$C$2:$C$53,0))</f>
        <v>8</v>
      </c>
      <c r="O55" s="78">
        <f>INDEX(卡牌图鉴!$K$2:$K$53,MATCH(monster!C55,卡牌图鉴!$C$2:$C$53,0))</f>
        <v>3</v>
      </c>
    </row>
    <row r="56" spans="1:15" x14ac:dyDescent="0.15">
      <c r="A56" s="31">
        <v>1416</v>
      </c>
      <c r="B56" s="31" t="s">
        <v>474</v>
      </c>
      <c r="C56" s="31">
        <v>1406</v>
      </c>
      <c r="D56" s="15">
        <f>INDEX(卡牌图鉴!$S$2:$S$53,MATCH(monster!C56,卡牌图鉴!$C$2:$C$53,0))</f>
        <v>1</v>
      </c>
      <c r="E56" s="31">
        <v>10</v>
      </c>
      <c r="F56" s="15">
        <f>INT(INDEX(卡牌图鉴!$AB$2:$AB$53,MATCH(monster!C56,卡牌图鉴!$C$2:$C$57,0)) * INDEX(数值规划表!$B$61:$B$71,monster!E56+1) * 血量调整)</f>
        <v>314</v>
      </c>
      <c r="G56" s="15">
        <f>ROUND(INDEX(卡牌图鉴!$AB$2:$AB$53,MATCH(monster!C56,卡牌图鉴!$C$2:$C$57,0)) * INDEX(数值规划表!$D$61:$D$71,monster!E56+1)*血量调整,2)</f>
        <v>9.44</v>
      </c>
      <c r="H56" s="15">
        <f>ROUND(INDEX(卡牌图鉴!$AA$2:$AA$53,MATCH(monster!C56,卡牌图鉴!$C$2:$C$53,0)) * INDEX(数值规划表!$C$61:$C$71,monster!E56+1),2)</f>
        <v>146.44</v>
      </c>
      <c r="I56" s="15">
        <f>ROUND(INDEX(卡牌图鉴!$AA$2:$AA$53,MATCH(monster!C56,卡牌图鉴!$C$2:$C$53,0)) * INDEX(数值规划表!$E$61:$E$71,monster!E56+1),2)</f>
        <v>4.3899999999999997</v>
      </c>
      <c r="J56" s="15">
        <f>INDEX(卡牌图鉴!$J$2:$J$53,MATCH(monster!C56,卡牌图鉴!$C$2:$C$53,0))</f>
        <v>5</v>
      </c>
      <c r="K56" s="15">
        <f>INDEX(卡牌图鉴!$S$2:$S$53,MATCH(monster!C56,卡牌图鉴!$C$2:$C$53,0))</f>
        <v>1</v>
      </c>
      <c r="L56" s="15">
        <f>INDEX(卡牌图鉴!$H$2:$H$53,MATCH(monster!C56,卡牌图鉴!$C$2:$C$53,0))</f>
        <v>1.4</v>
      </c>
      <c r="M56" s="15">
        <f>INDEX(卡牌图鉴!$L$2:$L$53,MATCH(monster!C56,卡牌图鉴!$C$2:$C$53,0))</f>
        <v>3</v>
      </c>
      <c r="N56" s="15">
        <f>INDEX(卡牌图鉴!$AD$2:$AD$53,MATCH(monster!C56,卡牌图鉴!$C$2:$C$53,0))</f>
        <v>8</v>
      </c>
      <c r="O56" s="78">
        <f>INDEX(卡牌图鉴!$K$2:$K$53,MATCH(monster!C56,卡牌图鉴!$C$2:$C$53,0))</f>
        <v>3</v>
      </c>
    </row>
    <row r="57" spans="1:15" x14ac:dyDescent="0.15">
      <c r="A57" s="31">
        <v>1151</v>
      </c>
      <c r="B57" s="31" t="s">
        <v>1411</v>
      </c>
      <c r="C57" s="31">
        <v>1151</v>
      </c>
      <c r="D57" s="15">
        <f>INDEX(卡牌图鉴!$S$2:$S$53,MATCH(monster!C57,卡牌图鉴!$C$2:$C$53,0))</f>
        <v>3</v>
      </c>
      <c r="E57" s="31">
        <v>0</v>
      </c>
      <c r="F57" s="15">
        <f>INT(INDEX(卡牌图鉴!$AB$2:$AB$53,MATCH(monster!C57,卡牌图鉴!$C$2:$C$57,0)) * INDEX(数值规划表!$B$61:$B$71,monster!E57+1) * 血量调整)</f>
        <v>283</v>
      </c>
      <c r="G57" s="15">
        <f>ROUND(INDEX(卡牌图鉴!$AB$2:$AB$53,MATCH(monster!C57,卡牌图鉴!$C$2:$C$57,0)) * INDEX(数值规划表!$D$61:$D$71,monster!E57+1)*血量调整,2)</f>
        <v>8.5</v>
      </c>
      <c r="H57" s="15">
        <f>ROUND(INDEX(卡牌图鉴!$AA$2:$AA$53,MATCH(monster!C57,卡牌图鉴!$C$2:$C$53,0)) * INDEX(数值规划表!$C$61:$C$71,monster!E57+1),2)</f>
        <v>71.180000000000007</v>
      </c>
      <c r="I57" s="15">
        <f>ROUND(INDEX(卡牌图鉴!$AA$2:$AA$53,MATCH(monster!C57,卡牌图鉴!$C$2:$C$53,0)) * INDEX(数值规划表!$E$61:$E$71,monster!E57+1),2)</f>
        <v>2.14</v>
      </c>
      <c r="J57" s="15">
        <f>INDEX(卡牌图鉴!$J$2:$J$53,MATCH(monster!C57,卡牌图鉴!$C$2:$C$53,0))</f>
        <v>4</v>
      </c>
      <c r="K57" s="15">
        <f>INDEX(卡牌图鉴!$S$2:$S$53,MATCH(monster!C57,卡牌图鉴!$C$2:$C$53,0))</f>
        <v>3</v>
      </c>
      <c r="L57" s="15">
        <f>INDEX(卡牌图鉴!$H$2:$H$53,MATCH(monster!C57,卡牌图鉴!$C$2:$C$53,0))</f>
        <v>1.1000000000000001</v>
      </c>
      <c r="M57" s="15">
        <f>INDEX(卡牌图鉴!$L$2:$L$53,MATCH(monster!C57,卡牌图鉴!$C$2:$C$53,0))</f>
        <v>4</v>
      </c>
      <c r="N57" s="15">
        <f>INDEX(卡牌图鉴!$AD$2:$AD$53,MATCH(monster!C57,卡牌图鉴!$C$2:$C$53,0))</f>
        <v>8</v>
      </c>
      <c r="O57" s="78">
        <f>INDEX(卡牌图鉴!$K$2:$K$53,MATCH(monster!C57,卡牌图鉴!$C$2:$C$53,0))</f>
        <v>3</v>
      </c>
    </row>
    <row r="58" spans="1:15" x14ac:dyDescent="0.15">
      <c r="A58" s="31">
        <v>1152</v>
      </c>
      <c r="B58" s="31" t="s">
        <v>1412</v>
      </c>
      <c r="C58" s="31">
        <v>1151</v>
      </c>
      <c r="D58" s="15">
        <f>INDEX(卡牌图鉴!$S$2:$S$53,MATCH(monster!C58,卡牌图鉴!$C$2:$C$53,0))</f>
        <v>3</v>
      </c>
      <c r="E58" s="31">
        <v>1</v>
      </c>
      <c r="F58" s="15">
        <f>INT(INDEX(卡牌图鉴!$AB$2:$AB$53,MATCH(monster!C58,卡牌图鉴!$C$2:$C$57,0)) * INDEX(数值规划表!$B$61:$B$71,monster!E58+1) * 血量调整)</f>
        <v>317</v>
      </c>
      <c r="G58" s="15">
        <f>ROUND(INDEX(卡牌图鉴!$AB$2:$AB$53,MATCH(monster!C58,卡牌图鉴!$C$2:$C$57,0)) * INDEX(数值规划表!$D$61:$D$71,monster!E58+1)*血量调整,2)</f>
        <v>9.52</v>
      </c>
      <c r="H58" s="15">
        <f>ROUND(INDEX(卡牌图鉴!$AA$2:$AA$53,MATCH(monster!C58,卡牌图鉴!$C$2:$C$53,0)) * INDEX(数值规划表!$C$61:$C$71,monster!E58+1),2)</f>
        <v>79.72</v>
      </c>
      <c r="I58" s="15">
        <f>ROUND(INDEX(卡牌图鉴!$AA$2:$AA$53,MATCH(monster!C58,卡牌图鉴!$C$2:$C$53,0)) * INDEX(数值规划表!$E$61:$E$71,monster!E58+1),2)</f>
        <v>2.39</v>
      </c>
      <c r="J58" s="15">
        <f>INDEX(卡牌图鉴!$J$2:$J$53,MATCH(monster!C58,卡牌图鉴!$C$2:$C$53,0))</f>
        <v>4</v>
      </c>
      <c r="K58" s="15">
        <f>INDEX(卡牌图鉴!$S$2:$S$53,MATCH(monster!C58,卡牌图鉴!$C$2:$C$53,0))</f>
        <v>3</v>
      </c>
      <c r="L58" s="15">
        <f>INDEX(卡牌图鉴!$H$2:$H$53,MATCH(monster!C58,卡牌图鉴!$C$2:$C$53,0))</f>
        <v>1.1000000000000001</v>
      </c>
      <c r="M58" s="15">
        <f>INDEX(卡牌图鉴!$L$2:$L$53,MATCH(monster!C58,卡牌图鉴!$C$2:$C$53,0))</f>
        <v>4</v>
      </c>
      <c r="N58" s="15">
        <f>INDEX(卡牌图鉴!$AD$2:$AD$53,MATCH(monster!C58,卡牌图鉴!$C$2:$C$53,0))</f>
        <v>8</v>
      </c>
      <c r="O58" s="78">
        <f>INDEX(卡牌图鉴!$K$2:$K$53,MATCH(monster!C58,卡牌图鉴!$C$2:$C$53,0))</f>
        <v>3</v>
      </c>
    </row>
    <row r="59" spans="1:15" x14ac:dyDescent="0.15">
      <c r="A59" s="31">
        <v>1153</v>
      </c>
      <c r="B59" s="31" t="s">
        <v>1413</v>
      </c>
      <c r="C59" s="31">
        <v>1151</v>
      </c>
      <c r="D59" s="15">
        <f>INDEX(卡牌图鉴!$S$2:$S$53,MATCH(monster!C59,卡牌图鉴!$C$2:$C$53,0))</f>
        <v>3</v>
      </c>
      <c r="E59" s="31">
        <v>2</v>
      </c>
      <c r="F59" s="15">
        <f>INT(INDEX(卡牌图鉴!$AB$2:$AB$53,MATCH(monster!C59,卡牌图鉴!$C$2:$C$57,0)) * INDEX(数值规划表!$B$61:$B$71,monster!E59+1) * 血量调整)</f>
        <v>355</v>
      </c>
      <c r="G59" s="15">
        <f>ROUND(INDEX(卡牌图鉴!$AB$2:$AB$53,MATCH(monster!C59,卡牌图鉴!$C$2:$C$57,0)) * INDEX(数值规划表!$D$61:$D$71,monster!E59+1)*血量调整,2)</f>
        <v>10.67</v>
      </c>
      <c r="H59" s="15">
        <f>ROUND(INDEX(卡牌图鉴!$AA$2:$AA$53,MATCH(monster!C59,卡牌图鉴!$C$2:$C$53,0)) * INDEX(数值规划表!$C$61:$C$71,monster!E59+1),2)</f>
        <v>89.29</v>
      </c>
      <c r="I59" s="15">
        <f>ROUND(INDEX(卡牌图鉴!$AA$2:$AA$53,MATCH(monster!C59,卡牌图鉴!$C$2:$C$53,0)) * INDEX(数值规划表!$E$61:$E$71,monster!E59+1),2)</f>
        <v>2.68</v>
      </c>
      <c r="J59" s="15">
        <f>INDEX(卡牌图鉴!$J$2:$J$53,MATCH(monster!C59,卡牌图鉴!$C$2:$C$53,0))</f>
        <v>4</v>
      </c>
      <c r="K59" s="15">
        <f>INDEX(卡牌图鉴!$S$2:$S$53,MATCH(monster!C59,卡牌图鉴!$C$2:$C$53,0))</f>
        <v>3</v>
      </c>
      <c r="L59" s="15">
        <f>INDEX(卡牌图鉴!$H$2:$H$53,MATCH(monster!C59,卡牌图鉴!$C$2:$C$53,0))</f>
        <v>1.1000000000000001</v>
      </c>
      <c r="M59" s="15">
        <f>INDEX(卡牌图鉴!$L$2:$L$53,MATCH(monster!C59,卡牌图鉴!$C$2:$C$53,0))</f>
        <v>4</v>
      </c>
      <c r="N59" s="15">
        <f>INDEX(卡牌图鉴!$AD$2:$AD$53,MATCH(monster!C59,卡牌图鉴!$C$2:$C$53,0))</f>
        <v>8</v>
      </c>
      <c r="O59" s="78">
        <f>INDEX(卡牌图鉴!$K$2:$K$53,MATCH(monster!C59,卡牌图鉴!$C$2:$C$53,0))</f>
        <v>3</v>
      </c>
    </row>
    <row r="60" spans="1:15" x14ac:dyDescent="0.15">
      <c r="A60" s="31">
        <v>1154</v>
      </c>
      <c r="B60" s="31" t="s">
        <v>1414</v>
      </c>
      <c r="C60" s="31">
        <v>1151</v>
      </c>
      <c r="D60" s="15">
        <f>INDEX(卡牌图鉴!$S$2:$S$53,MATCH(monster!C60,卡牌图鉴!$C$2:$C$53,0))</f>
        <v>3</v>
      </c>
      <c r="E60" s="31">
        <v>3</v>
      </c>
      <c r="F60" s="15">
        <f>INT(INDEX(卡牌图鉴!$AB$2:$AB$53,MATCH(monster!C60,卡牌图鉴!$C$2:$C$57,0)) * INDEX(数值规划表!$B$61:$B$71,monster!E60+1) * 血量调整)</f>
        <v>398</v>
      </c>
      <c r="G60" s="15">
        <f>ROUND(INDEX(卡牌图鉴!$AB$2:$AB$53,MATCH(monster!C60,卡牌图鉴!$C$2:$C$57,0)) * INDEX(数值规划表!$D$61:$D$71,monster!E60+1)*血量调整,2)</f>
        <v>11.95</v>
      </c>
      <c r="H60" s="15">
        <f>ROUND(INDEX(卡牌图鉴!$AA$2:$AA$53,MATCH(monster!C60,卡牌图鉴!$C$2:$C$53,0)) * INDEX(数值规划表!$C$61:$C$71,monster!E60+1),2)</f>
        <v>100</v>
      </c>
      <c r="I60" s="15">
        <f>ROUND(INDEX(卡牌图鉴!$AA$2:$AA$53,MATCH(monster!C60,卡牌图鉴!$C$2:$C$53,0)) * INDEX(数值规划表!$E$61:$E$71,monster!E60+1),2)</f>
        <v>3</v>
      </c>
      <c r="J60" s="15">
        <f>INDEX(卡牌图鉴!$J$2:$J$53,MATCH(monster!C60,卡牌图鉴!$C$2:$C$53,0))</f>
        <v>4</v>
      </c>
      <c r="K60" s="15">
        <f>INDEX(卡牌图鉴!$S$2:$S$53,MATCH(monster!C60,卡牌图鉴!$C$2:$C$53,0))</f>
        <v>3</v>
      </c>
      <c r="L60" s="15">
        <f>INDEX(卡牌图鉴!$H$2:$H$53,MATCH(monster!C60,卡牌图鉴!$C$2:$C$53,0))</f>
        <v>1.1000000000000001</v>
      </c>
      <c r="M60" s="15">
        <f>INDEX(卡牌图鉴!$L$2:$L$53,MATCH(monster!C60,卡牌图鉴!$C$2:$C$53,0))</f>
        <v>4</v>
      </c>
      <c r="N60" s="15">
        <f>INDEX(卡牌图鉴!$AD$2:$AD$53,MATCH(monster!C60,卡牌图鉴!$C$2:$C$53,0))</f>
        <v>8</v>
      </c>
      <c r="O60" s="78">
        <f>INDEX(卡牌图鉴!$K$2:$K$53,MATCH(monster!C60,卡牌图鉴!$C$2:$C$53,0))</f>
        <v>3</v>
      </c>
    </row>
    <row r="61" spans="1:15" x14ac:dyDescent="0.15">
      <c r="A61" s="31">
        <v>1155</v>
      </c>
      <c r="B61" s="31" t="s">
        <v>1415</v>
      </c>
      <c r="C61" s="31">
        <v>1151</v>
      </c>
      <c r="D61" s="15">
        <f>INDEX(卡牌图鉴!$S$2:$S$53,MATCH(monster!C61,卡牌图鉴!$C$2:$C$53,0))</f>
        <v>3</v>
      </c>
      <c r="E61" s="31">
        <v>4</v>
      </c>
      <c r="F61" s="15">
        <f>INT(INDEX(卡牌图鉴!$AB$2:$AB$53,MATCH(monster!C61,卡牌图鉴!$C$2:$C$57,0)) * INDEX(数值规划表!$B$61:$B$71,monster!E61+1) * 血量调整)</f>
        <v>445</v>
      </c>
      <c r="G61" s="15">
        <f>ROUND(INDEX(卡牌图鉴!$AB$2:$AB$53,MATCH(monster!C61,卡牌图鉴!$C$2:$C$57,0)) * INDEX(数值规划表!$D$61:$D$71,monster!E61+1)*血量调整,2)</f>
        <v>13.38</v>
      </c>
      <c r="H61" s="15">
        <f>ROUND(INDEX(卡牌图鉴!$AA$2:$AA$53,MATCH(monster!C61,卡牌图鉴!$C$2:$C$53,0)) * INDEX(数值规划表!$C$61:$C$71,monster!E61+1),2)</f>
        <v>112</v>
      </c>
      <c r="I61" s="15">
        <f>ROUND(INDEX(卡牌图鉴!$AA$2:$AA$53,MATCH(monster!C61,卡牌图鉴!$C$2:$C$53,0)) * INDEX(数值规划表!$E$61:$E$71,monster!E61+1),2)</f>
        <v>3.36</v>
      </c>
      <c r="J61" s="15">
        <f>INDEX(卡牌图鉴!$J$2:$J$53,MATCH(monster!C61,卡牌图鉴!$C$2:$C$53,0))</f>
        <v>4</v>
      </c>
      <c r="K61" s="15">
        <f>INDEX(卡牌图鉴!$S$2:$S$53,MATCH(monster!C61,卡牌图鉴!$C$2:$C$53,0))</f>
        <v>3</v>
      </c>
      <c r="L61" s="15">
        <f>INDEX(卡牌图鉴!$H$2:$H$53,MATCH(monster!C61,卡牌图鉴!$C$2:$C$53,0))</f>
        <v>1.1000000000000001</v>
      </c>
      <c r="M61" s="15">
        <f>INDEX(卡牌图鉴!$L$2:$L$53,MATCH(monster!C61,卡牌图鉴!$C$2:$C$53,0))</f>
        <v>4</v>
      </c>
      <c r="N61" s="15">
        <f>INDEX(卡牌图鉴!$AD$2:$AD$53,MATCH(monster!C61,卡牌图鉴!$C$2:$C$53,0))</f>
        <v>8</v>
      </c>
      <c r="O61" s="78">
        <f>INDEX(卡牌图鉴!$K$2:$K$53,MATCH(monster!C61,卡牌图鉴!$C$2:$C$53,0))</f>
        <v>3</v>
      </c>
    </row>
    <row r="62" spans="1:15" x14ac:dyDescent="0.15">
      <c r="A62" s="31">
        <v>1156</v>
      </c>
      <c r="B62" s="31" t="s">
        <v>1416</v>
      </c>
      <c r="C62" s="31">
        <v>1151</v>
      </c>
      <c r="D62" s="15">
        <f>INDEX(卡牌图鉴!$S$2:$S$53,MATCH(monster!C62,卡牌图鉴!$C$2:$C$53,0))</f>
        <v>3</v>
      </c>
      <c r="E62" s="31">
        <v>5</v>
      </c>
      <c r="F62" s="15">
        <f>INT(INDEX(卡牌图鉴!$AB$2:$AB$53,MATCH(monster!C62,卡牌图鉴!$C$2:$C$57,0)) * INDEX(数值规划表!$B$61:$B$71,monster!E62+1) * 血量调整)</f>
        <v>499</v>
      </c>
      <c r="G62" s="15">
        <f>ROUND(INDEX(卡牌图鉴!$AB$2:$AB$53,MATCH(monster!C62,卡牌图鉴!$C$2:$C$57,0)) * INDEX(数值规划表!$D$61:$D$71,monster!E62+1)*血量调整,2)</f>
        <v>14.99</v>
      </c>
      <c r="H62" s="15">
        <f>ROUND(INDEX(卡牌图鉴!$AA$2:$AA$53,MATCH(monster!C62,卡牌图鉴!$C$2:$C$53,0)) * INDEX(数值规划表!$C$61:$C$71,monster!E62+1),2)</f>
        <v>125.44</v>
      </c>
      <c r="I62" s="15">
        <f>ROUND(INDEX(卡牌图鉴!$AA$2:$AA$53,MATCH(monster!C62,卡牌图鉴!$C$2:$C$53,0)) * INDEX(数值规划表!$E$61:$E$71,monster!E62+1),2)</f>
        <v>3.76</v>
      </c>
      <c r="J62" s="15">
        <f>INDEX(卡牌图鉴!$J$2:$J$53,MATCH(monster!C62,卡牌图鉴!$C$2:$C$53,0))</f>
        <v>4</v>
      </c>
      <c r="K62" s="15">
        <f>INDEX(卡牌图鉴!$S$2:$S$53,MATCH(monster!C62,卡牌图鉴!$C$2:$C$53,0))</f>
        <v>3</v>
      </c>
      <c r="L62" s="15">
        <f>INDEX(卡牌图鉴!$H$2:$H$53,MATCH(monster!C62,卡牌图鉴!$C$2:$C$53,0))</f>
        <v>1.1000000000000001</v>
      </c>
      <c r="M62" s="15">
        <f>INDEX(卡牌图鉴!$L$2:$L$53,MATCH(monster!C62,卡牌图鉴!$C$2:$C$53,0))</f>
        <v>4</v>
      </c>
      <c r="N62" s="15">
        <f>INDEX(卡牌图鉴!$AD$2:$AD$53,MATCH(monster!C62,卡牌图鉴!$C$2:$C$53,0))</f>
        <v>8</v>
      </c>
      <c r="O62" s="78">
        <f>INDEX(卡牌图鉴!$K$2:$K$53,MATCH(monster!C62,卡牌图鉴!$C$2:$C$53,0))</f>
        <v>3</v>
      </c>
    </row>
    <row r="63" spans="1:15" x14ac:dyDescent="0.15">
      <c r="A63" s="31">
        <v>1157</v>
      </c>
      <c r="B63" s="31" t="s">
        <v>1417</v>
      </c>
      <c r="C63" s="31">
        <v>1151</v>
      </c>
      <c r="D63" s="15">
        <f>INDEX(卡牌图鉴!$S$2:$S$53,MATCH(monster!C63,卡牌图鉴!$C$2:$C$53,0))</f>
        <v>3</v>
      </c>
      <c r="E63" s="31">
        <v>6</v>
      </c>
      <c r="F63" s="15">
        <f>INT(INDEX(卡牌图鉴!$AB$2:$AB$53,MATCH(monster!C63,卡牌图鉴!$C$2:$C$57,0)) * INDEX(数值规划表!$B$61:$B$71,monster!E63+1) * 血量调整)</f>
        <v>559</v>
      </c>
      <c r="G63" s="15">
        <f>ROUND(INDEX(卡牌图鉴!$AB$2:$AB$53,MATCH(monster!C63,卡牌图鉴!$C$2:$C$57,0)) * INDEX(数值规划表!$D$61:$D$71,monster!E63+1)*血量调整,2)</f>
        <v>16.78</v>
      </c>
      <c r="H63" s="15">
        <f>ROUND(INDEX(卡牌图鉴!$AA$2:$AA$53,MATCH(monster!C63,卡牌图鉴!$C$2:$C$53,0)) * INDEX(数值规划表!$C$61:$C$71,monster!E63+1),2)</f>
        <v>140.5</v>
      </c>
      <c r="I63" s="15">
        <f>ROUND(INDEX(卡牌图鉴!$AA$2:$AA$53,MATCH(monster!C63,卡牌图鉴!$C$2:$C$53,0)) * INDEX(数值规划表!$E$61:$E$71,monster!E63+1),2)</f>
        <v>4.21</v>
      </c>
      <c r="J63" s="15">
        <f>INDEX(卡牌图鉴!$J$2:$J$53,MATCH(monster!C63,卡牌图鉴!$C$2:$C$53,0))</f>
        <v>4</v>
      </c>
      <c r="K63" s="15">
        <f>INDEX(卡牌图鉴!$S$2:$S$53,MATCH(monster!C63,卡牌图鉴!$C$2:$C$53,0))</f>
        <v>3</v>
      </c>
      <c r="L63" s="15">
        <f>INDEX(卡牌图鉴!$H$2:$H$53,MATCH(monster!C63,卡牌图鉴!$C$2:$C$53,0))</f>
        <v>1.1000000000000001</v>
      </c>
      <c r="M63" s="15">
        <f>INDEX(卡牌图鉴!$L$2:$L$53,MATCH(monster!C63,卡牌图鉴!$C$2:$C$53,0))</f>
        <v>4</v>
      </c>
      <c r="N63" s="15">
        <f>INDEX(卡牌图鉴!$AD$2:$AD$53,MATCH(monster!C63,卡牌图鉴!$C$2:$C$53,0))</f>
        <v>8</v>
      </c>
      <c r="O63" s="78">
        <f>INDEX(卡牌图鉴!$K$2:$K$53,MATCH(monster!C63,卡牌图鉴!$C$2:$C$53,0))</f>
        <v>3</v>
      </c>
    </row>
    <row r="64" spans="1:15" x14ac:dyDescent="0.15">
      <c r="A64" s="31">
        <v>1158</v>
      </c>
      <c r="B64" s="31" t="s">
        <v>1418</v>
      </c>
      <c r="C64" s="31">
        <v>1151</v>
      </c>
      <c r="D64" s="15">
        <f>INDEX(卡牌图鉴!$S$2:$S$53,MATCH(monster!C64,卡牌图鉴!$C$2:$C$53,0))</f>
        <v>3</v>
      </c>
      <c r="E64" s="31">
        <v>7</v>
      </c>
      <c r="F64" s="15">
        <f>INT(INDEX(卡牌图鉴!$AB$2:$AB$53,MATCH(monster!C64,卡牌图鉴!$C$2:$C$57,0)) * INDEX(数值规划表!$B$61:$B$71,monster!E64+1) * 血量调整)</f>
        <v>626</v>
      </c>
      <c r="G64" s="15">
        <f>ROUND(INDEX(卡牌图鉴!$AB$2:$AB$53,MATCH(monster!C64,卡牌图鉴!$C$2:$C$57,0)) * INDEX(数值规划表!$D$61:$D$71,monster!E64+1)*血量调整,2)</f>
        <v>18.8</v>
      </c>
      <c r="H64" s="15">
        <f>ROUND(INDEX(卡牌图鉴!$AA$2:$AA$53,MATCH(monster!C64,卡牌图鉴!$C$2:$C$53,0)) * INDEX(数值规划表!$C$61:$C$71,monster!E64+1),2)</f>
        <v>157.36000000000001</v>
      </c>
      <c r="I64" s="15">
        <f>ROUND(INDEX(卡牌图鉴!$AA$2:$AA$53,MATCH(monster!C64,卡牌图鉴!$C$2:$C$53,0)) * INDEX(数值规划表!$E$61:$E$71,monster!E64+1),2)</f>
        <v>4.72</v>
      </c>
      <c r="J64" s="15">
        <f>INDEX(卡牌图鉴!$J$2:$J$53,MATCH(monster!C64,卡牌图鉴!$C$2:$C$53,0))</f>
        <v>4</v>
      </c>
      <c r="K64" s="15">
        <f>INDEX(卡牌图鉴!$S$2:$S$53,MATCH(monster!C64,卡牌图鉴!$C$2:$C$53,0))</f>
        <v>3</v>
      </c>
      <c r="L64" s="15">
        <f>INDEX(卡牌图鉴!$H$2:$H$53,MATCH(monster!C64,卡牌图鉴!$C$2:$C$53,0))</f>
        <v>1.1000000000000001</v>
      </c>
      <c r="M64" s="15">
        <f>INDEX(卡牌图鉴!$L$2:$L$53,MATCH(monster!C64,卡牌图鉴!$C$2:$C$53,0))</f>
        <v>4</v>
      </c>
      <c r="N64" s="15">
        <f>INDEX(卡牌图鉴!$AD$2:$AD$53,MATCH(monster!C64,卡牌图鉴!$C$2:$C$53,0))</f>
        <v>8</v>
      </c>
      <c r="O64" s="78">
        <f>INDEX(卡牌图鉴!$K$2:$K$53,MATCH(monster!C64,卡牌图鉴!$C$2:$C$53,0))</f>
        <v>3</v>
      </c>
    </row>
    <row r="65" spans="1:15" x14ac:dyDescent="0.15">
      <c r="A65" s="31">
        <v>1159</v>
      </c>
      <c r="B65" s="31" t="s">
        <v>1419</v>
      </c>
      <c r="C65" s="31">
        <v>1151</v>
      </c>
      <c r="D65" s="15">
        <f>INDEX(卡牌图鉴!$S$2:$S$53,MATCH(monster!C65,卡牌图鉴!$C$2:$C$53,0))</f>
        <v>3</v>
      </c>
      <c r="E65" s="31">
        <v>8</v>
      </c>
      <c r="F65" s="15">
        <f>INT(INDEX(卡牌图鉴!$AB$2:$AB$53,MATCH(monster!C65,卡牌图鉴!$C$2:$C$57,0)) * INDEX(数值规划表!$B$61:$B$71,monster!E65+1) * 血量调整)</f>
        <v>701</v>
      </c>
      <c r="G65" s="15">
        <f>ROUND(INDEX(卡牌图鉴!$AB$2:$AB$53,MATCH(monster!C65,卡牌图鉴!$C$2:$C$57,0)) * INDEX(数值规划表!$D$61:$D$71,monster!E65+1)*血量调整,2)</f>
        <v>21.05</v>
      </c>
      <c r="H65" s="15">
        <f>ROUND(INDEX(卡牌图鉴!$AA$2:$AA$53,MATCH(monster!C65,卡牌图鉴!$C$2:$C$53,0)) * INDEX(数值规划表!$C$61:$C$71,monster!E65+1),2)</f>
        <v>176.24</v>
      </c>
      <c r="I65" s="15">
        <f>ROUND(INDEX(卡牌图鉴!$AA$2:$AA$53,MATCH(monster!C65,卡牌图鉴!$C$2:$C$53,0)) * INDEX(数值规划表!$E$61:$E$71,monster!E65+1),2)</f>
        <v>5.29</v>
      </c>
      <c r="J65" s="15">
        <f>INDEX(卡牌图鉴!$J$2:$J$53,MATCH(monster!C65,卡牌图鉴!$C$2:$C$53,0))</f>
        <v>4</v>
      </c>
      <c r="K65" s="15">
        <f>INDEX(卡牌图鉴!$S$2:$S$53,MATCH(monster!C65,卡牌图鉴!$C$2:$C$53,0))</f>
        <v>3</v>
      </c>
      <c r="L65" s="15">
        <f>INDEX(卡牌图鉴!$H$2:$H$53,MATCH(monster!C65,卡牌图鉴!$C$2:$C$53,0))</f>
        <v>1.1000000000000001</v>
      </c>
      <c r="M65" s="15">
        <f>INDEX(卡牌图鉴!$L$2:$L$53,MATCH(monster!C65,卡牌图鉴!$C$2:$C$53,0))</f>
        <v>4</v>
      </c>
      <c r="N65" s="15">
        <f>INDEX(卡牌图鉴!$AD$2:$AD$53,MATCH(monster!C65,卡牌图鉴!$C$2:$C$53,0))</f>
        <v>8</v>
      </c>
      <c r="O65" s="78">
        <f>INDEX(卡牌图鉴!$K$2:$K$53,MATCH(monster!C65,卡牌图鉴!$C$2:$C$53,0))</f>
        <v>3</v>
      </c>
    </row>
    <row r="66" spans="1:15" x14ac:dyDescent="0.15">
      <c r="A66" s="31">
        <v>1160</v>
      </c>
      <c r="B66" s="31" t="s">
        <v>1420</v>
      </c>
      <c r="C66" s="31">
        <v>1151</v>
      </c>
      <c r="D66" s="15">
        <f>INDEX(卡牌图鉴!$S$2:$S$53,MATCH(monster!C66,卡牌图鉴!$C$2:$C$53,0))</f>
        <v>3</v>
      </c>
      <c r="E66" s="31">
        <v>9</v>
      </c>
      <c r="F66" s="15">
        <f>INT(INDEX(卡牌图鉴!$AB$2:$AB$53,MATCH(monster!C66,卡牌图鉴!$C$2:$C$57,0)) * INDEX(数值规划表!$B$61:$B$71,monster!E66+1) * 血量调整)</f>
        <v>785</v>
      </c>
      <c r="G66" s="15">
        <f>ROUND(INDEX(卡牌图鉴!$AB$2:$AB$53,MATCH(monster!C66,卡牌图鉴!$C$2:$C$57,0)) * INDEX(数值规划表!$D$61:$D$71,monster!E66+1)*血量调整,2)</f>
        <v>23.58</v>
      </c>
      <c r="H66" s="15">
        <f>ROUND(INDEX(卡牌图鉴!$AA$2:$AA$53,MATCH(monster!C66,卡牌图鉴!$C$2:$C$53,0)) * INDEX(数值规划表!$C$61:$C$71,monster!E66+1),2)</f>
        <v>197.39</v>
      </c>
      <c r="I66" s="15">
        <f>ROUND(INDEX(卡牌图鉴!$AA$2:$AA$53,MATCH(monster!C66,卡牌图鉴!$C$2:$C$53,0)) * INDEX(数值规划表!$E$61:$E$71,monster!E66+1),2)</f>
        <v>5.92</v>
      </c>
      <c r="J66" s="15">
        <f>INDEX(卡牌图鉴!$J$2:$J$53,MATCH(monster!C66,卡牌图鉴!$C$2:$C$53,0))</f>
        <v>4</v>
      </c>
      <c r="K66" s="15">
        <f>INDEX(卡牌图鉴!$S$2:$S$53,MATCH(monster!C66,卡牌图鉴!$C$2:$C$53,0))</f>
        <v>3</v>
      </c>
      <c r="L66" s="15">
        <f>INDEX(卡牌图鉴!$H$2:$H$53,MATCH(monster!C66,卡牌图鉴!$C$2:$C$53,0))</f>
        <v>1.1000000000000001</v>
      </c>
      <c r="M66" s="15">
        <f>INDEX(卡牌图鉴!$L$2:$L$53,MATCH(monster!C66,卡牌图鉴!$C$2:$C$53,0))</f>
        <v>4</v>
      </c>
      <c r="N66" s="15">
        <f>INDEX(卡牌图鉴!$AD$2:$AD$53,MATCH(monster!C66,卡牌图鉴!$C$2:$C$53,0))</f>
        <v>8</v>
      </c>
      <c r="O66" s="78">
        <f>INDEX(卡牌图鉴!$K$2:$K$53,MATCH(monster!C66,卡牌图鉴!$C$2:$C$53,0))</f>
        <v>3</v>
      </c>
    </row>
    <row r="67" spans="1:15" x14ac:dyDescent="0.15">
      <c r="A67" s="31">
        <v>1161</v>
      </c>
      <c r="B67" s="31" t="s">
        <v>1421</v>
      </c>
      <c r="C67" s="31">
        <v>1151</v>
      </c>
      <c r="D67" s="15">
        <f>INDEX(卡牌图鉴!$S$2:$S$53,MATCH(monster!C67,卡牌图鉴!$C$2:$C$53,0))</f>
        <v>3</v>
      </c>
      <c r="E67" s="31">
        <v>10</v>
      </c>
      <c r="F67" s="15">
        <f>INT(INDEX(卡牌图鉴!$AB$2:$AB$53,MATCH(monster!C67,卡牌图鉴!$C$2:$C$57,0)) * INDEX(数值规划表!$B$61:$B$71,monster!E67+1) * 血量调整)</f>
        <v>880</v>
      </c>
      <c r="G67" s="15">
        <f>ROUND(INDEX(卡牌图鉴!$AB$2:$AB$53,MATCH(monster!C67,卡牌图鉴!$C$2:$C$57,0)) * INDEX(数值规划表!$D$61:$D$71,monster!E67+1)*血量调整,2)</f>
        <v>26.41</v>
      </c>
      <c r="H67" s="15">
        <f>ROUND(INDEX(卡牌图鉴!$AA$2:$AA$53,MATCH(monster!C67,卡牌图鉴!$C$2:$C$53,0)) * INDEX(数值规划表!$C$61:$C$71,monster!E67+1),2)</f>
        <v>221.07</v>
      </c>
      <c r="I67" s="15">
        <f>ROUND(INDEX(卡牌图鉴!$AA$2:$AA$53,MATCH(monster!C67,卡牌图鉴!$C$2:$C$53,0)) * INDEX(数值规划表!$E$61:$E$71,monster!E67+1),2)</f>
        <v>6.63</v>
      </c>
      <c r="J67" s="15">
        <f>INDEX(卡牌图鉴!$J$2:$J$53,MATCH(monster!C67,卡牌图鉴!$C$2:$C$53,0))</f>
        <v>4</v>
      </c>
      <c r="K67" s="15">
        <f>INDEX(卡牌图鉴!$S$2:$S$53,MATCH(monster!C67,卡牌图鉴!$C$2:$C$53,0))</f>
        <v>3</v>
      </c>
      <c r="L67" s="15">
        <f>INDEX(卡牌图鉴!$H$2:$H$53,MATCH(monster!C67,卡牌图鉴!$C$2:$C$53,0))</f>
        <v>1.1000000000000001</v>
      </c>
      <c r="M67" s="15">
        <f>INDEX(卡牌图鉴!$L$2:$L$53,MATCH(monster!C67,卡牌图鉴!$C$2:$C$53,0))</f>
        <v>4</v>
      </c>
      <c r="N67" s="15">
        <f>INDEX(卡牌图鉴!$AD$2:$AD$53,MATCH(monster!C67,卡牌图鉴!$C$2:$C$53,0))</f>
        <v>8</v>
      </c>
      <c r="O67" s="78">
        <f>INDEX(卡牌图鉴!$K$2:$K$53,MATCH(monster!C67,卡牌图鉴!$C$2:$C$53,0))</f>
        <v>3</v>
      </c>
    </row>
    <row r="68" spans="1:15" x14ac:dyDescent="0.15">
      <c r="A68" s="31">
        <v>1327</v>
      </c>
      <c r="B68" s="31" t="s">
        <v>1422</v>
      </c>
      <c r="C68" s="31">
        <v>1327</v>
      </c>
      <c r="D68" s="15">
        <f>INDEX(卡牌图鉴!$S$2:$S$53,MATCH(monster!C68,卡牌图鉴!$C$2:$C$53,0))</f>
        <v>4</v>
      </c>
      <c r="E68" s="31">
        <v>0</v>
      </c>
      <c r="F68" s="15">
        <f>INT(INDEX(卡牌图鉴!$AB$2:$AB$53,MATCH(monster!C68,卡牌图鉴!$C$2:$C$57,0)) * INDEX(数值规划表!$B$61:$B$71,monster!E68+1) * 血量调整)</f>
        <v>1006</v>
      </c>
      <c r="G68" s="15">
        <f>ROUND(INDEX(卡牌图鉴!$AB$2:$AB$53,MATCH(monster!C68,卡牌图鉴!$C$2:$C$57,0)) * INDEX(数值规划表!$D$61:$D$71,monster!E68+1)*血量调整,2)</f>
        <v>30.2</v>
      </c>
      <c r="H68" s="15">
        <f>ROUND(INDEX(卡牌图鉴!$AA$2:$AA$53,MATCH(monster!C68,卡牌图鉴!$C$2:$C$53,0)) * INDEX(数值规划表!$C$61:$C$71,monster!E68+1),2)</f>
        <v>68.319999999999993</v>
      </c>
      <c r="I68" s="15">
        <f>ROUND(INDEX(卡牌图鉴!$AA$2:$AA$53,MATCH(monster!C68,卡牌图鉴!$C$2:$C$53,0)) * INDEX(数值规划表!$E$61:$E$71,monster!E68+1),2)</f>
        <v>2.0499999999999998</v>
      </c>
      <c r="J68" s="15">
        <f>INDEX(卡牌图鉴!$J$2:$J$53,MATCH(monster!C68,卡牌图鉴!$C$2:$C$53,0))</f>
        <v>1.2</v>
      </c>
      <c r="K68" s="15">
        <f>INDEX(卡牌图鉴!$S$2:$S$53,MATCH(monster!C68,卡牌图鉴!$C$2:$C$53,0))</f>
        <v>4</v>
      </c>
      <c r="L68" s="15">
        <f>INDEX(卡牌图鉴!$H$2:$H$53,MATCH(monster!C68,卡牌图鉴!$C$2:$C$53,0))</f>
        <v>0.8</v>
      </c>
      <c r="M68" s="15">
        <f>INDEX(卡牌图鉴!$L$2:$L$53,MATCH(monster!C68,卡牌图鉴!$C$2:$C$53,0))</f>
        <v>5</v>
      </c>
      <c r="N68" s="15">
        <f>INDEX(卡牌图鉴!$AD$2:$AD$53,MATCH(monster!C68,卡牌图鉴!$C$2:$C$53,0))</f>
        <v>8</v>
      </c>
      <c r="O68" s="78">
        <f>INDEX(卡牌图鉴!$K$2:$K$53,MATCH(monster!C68,卡牌图鉴!$C$2:$C$53,0))</f>
        <v>5</v>
      </c>
    </row>
    <row r="69" spans="1:15" x14ac:dyDescent="0.15">
      <c r="A69" s="31">
        <v>1328</v>
      </c>
      <c r="B69" s="31" t="s">
        <v>1423</v>
      </c>
      <c r="C69" s="31">
        <v>1327</v>
      </c>
      <c r="D69" s="15">
        <f>INDEX(卡牌图鉴!$S$2:$S$53,MATCH(monster!C69,卡牌图鉴!$C$2:$C$53,0))</f>
        <v>4</v>
      </c>
      <c r="E69" s="31">
        <v>1</v>
      </c>
      <c r="F69" s="15">
        <f>INT(INDEX(卡牌图鉴!$AB$2:$AB$53,MATCH(monster!C69,卡牌图鉴!$C$2:$C$57,0)) * INDEX(数值规划表!$B$61:$B$71,monster!E69+1) * 血量调整)</f>
        <v>1127</v>
      </c>
      <c r="G69" s="15">
        <f>ROUND(INDEX(卡牌图鉴!$AB$2:$AB$53,MATCH(monster!C69,卡牌图鉴!$C$2:$C$57,0)) * INDEX(数值规划表!$D$61:$D$71,monster!E69+1)*血量调整,2)</f>
        <v>33.83</v>
      </c>
      <c r="H69" s="15">
        <f>ROUND(INDEX(卡牌图鉴!$AA$2:$AA$53,MATCH(monster!C69,卡牌图鉴!$C$2:$C$53,0)) * INDEX(数值规划表!$C$61:$C$71,monster!E69+1),2)</f>
        <v>76.52</v>
      </c>
      <c r="I69" s="15">
        <f>ROUND(INDEX(卡牌图鉴!$AA$2:$AA$53,MATCH(monster!C69,卡牌图鉴!$C$2:$C$53,0)) * INDEX(数值规划表!$E$61:$E$71,monster!E69+1),2)</f>
        <v>2.2999999999999998</v>
      </c>
      <c r="J69" s="15">
        <f>INDEX(卡牌图鉴!$J$2:$J$53,MATCH(monster!C69,卡牌图鉴!$C$2:$C$53,0))</f>
        <v>1.2</v>
      </c>
      <c r="K69" s="15">
        <f>INDEX(卡牌图鉴!$S$2:$S$53,MATCH(monster!C69,卡牌图鉴!$C$2:$C$53,0))</f>
        <v>4</v>
      </c>
      <c r="L69" s="15">
        <f>INDEX(卡牌图鉴!$H$2:$H$53,MATCH(monster!C69,卡牌图鉴!$C$2:$C$53,0))</f>
        <v>0.8</v>
      </c>
      <c r="M69" s="15">
        <f>INDEX(卡牌图鉴!$L$2:$L$53,MATCH(monster!C69,卡牌图鉴!$C$2:$C$53,0))</f>
        <v>5</v>
      </c>
      <c r="N69" s="15">
        <f>INDEX(卡牌图鉴!$AD$2:$AD$53,MATCH(monster!C69,卡牌图鉴!$C$2:$C$53,0))</f>
        <v>8</v>
      </c>
      <c r="O69" s="78">
        <f>INDEX(卡牌图鉴!$K$2:$K$53,MATCH(monster!C69,卡牌图鉴!$C$2:$C$53,0))</f>
        <v>5</v>
      </c>
    </row>
    <row r="70" spans="1:15" x14ac:dyDescent="0.15">
      <c r="A70" s="31">
        <v>1329</v>
      </c>
      <c r="B70" s="31" t="s">
        <v>394</v>
      </c>
      <c r="C70" s="31">
        <v>1327</v>
      </c>
      <c r="D70" s="15">
        <f>INDEX(卡牌图鉴!$S$2:$S$53,MATCH(monster!C70,卡牌图鉴!$C$2:$C$53,0))</f>
        <v>4</v>
      </c>
      <c r="E70" s="31">
        <v>2</v>
      </c>
      <c r="F70" s="15">
        <f>INT(INDEX(卡牌图鉴!$AB$2:$AB$53,MATCH(monster!C70,卡牌图鉴!$C$2:$C$57,0)) * INDEX(数值规划表!$B$61:$B$71,monster!E70+1) * 血量调整)</f>
        <v>1262</v>
      </c>
      <c r="G70" s="15">
        <f>ROUND(INDEX(卡牌图鉴!$AB$2:$AB$53,MATCH(monster!C70,卡牌图鉴!$C$2:$C$57,0)) * INDEX(数值规划表!$D$61:$D$71,monster!E70+1)*血量调整,2)</f>
        <v>37.89</v>
      </c>
      <c r="H70" s="15">
        <f>ROUND(INDEX(卡牌图鉴!$AA$2:$AA$53,MATCH(monster!C70,卡牌图鉴!$C$2:$C$53,0)) * INDEX(数值规划表!$C$61:$C$71,monster!E70+1),2)</f>
        <v>85.7</v>
      </c>
      <c r="I70" s="15">
        <f>ROUND(INDEX(卡牌图鉴!$AA$2:$AA$53,MATCH(monster!C70,卡牌图鉴!$C$2:$C$53,0)) * INDEX(数值规划表!$E$61:$E$71,monster!E70+1),2)</f>
        <v>2.57</v>
      </c>
      <c r="J70" s="15">
        <f>INDEX(卡牌图鉴!$J$2:$J$53,MATCH(monster!C70,卡牌图鉴!$C$2:$C$53,0))</f>
        <v>1.2</v>
      </c>
      <c r="K70" s="15">
        <f>INDEX(卡牌图鉴!$S$2:$S$53,MATCH(monster!C70,卡牌图鉴!$C$2:$C$53,0))</f>
        <v>4</v>
      </c>
      <c r="L70" s="15">
        <f>INDEX(卡牌图鉴!$H$2:$H$53,MATCH(monster!C70,卡牌图鉴!$C$2:$C$53,0))</f>
        <v>0.8</v>
      </c>
      <c r="M70" s="15">
        <f>INDEX(卡牌图鉴!$L$2:$L$53,MATCH(monster!C70,卡牌图鉴!$C$2:$C$53,0))</f>
        <v>5</v>
      </c>
      <c r="N70" s="15">
        <f>INDEX(卡牌图鉴!$AD$2:$AD$53,MATCH(monster!C70,卡牌图鉴!$C$2:$C$53,0))</f>
        <v>8</v>
      </c>
      <c r="O70" s="78">
        <f>INDEX(卡牌图鉴!$K$2:$K$53,MATCH(monster!C70,卡牌图鉴!$C$2:$C$53,0))</f>
        <v>5</v>
      </c>
    </row>
    <row r="71" spans="1:15" x14ac:dyDescent="0.15">
      <c r="A71" s="31">
        <v>1330</v>
      </c>
      <c r="B71" s="31" t="s">
        <v>395</v>
      </c>
      <c r="C71" s="31">
        <v>1327</v>
      </c>
      <c r="D71" s="15">
        <f>INDEX(卡牌图鉴!$S$2:$S$53,MATCH(monster!C71,卡牌图鉴!$C$2:$C$53,0))</f>
        <v>4</v>
      </c>
      <c r="E71" s="31">
        <v>3</v>
      </c>
      <c r="F71" s="15">
        <f>INT(INDEX(卡牌图鉴!$AB$2:$AB$53,MATCH(monster!C71,卡牌图鉴!$C$2:$C$57,0)) * INDEX(数值规划表!$B$61:$B$71,monster!E71+1) * 血量调整)</f>
        <v>1414</v>
      </c>
      <c r="G71" s="15">
        <f>ROUND(INDEX(卡牌图鉴!$AB$2:$AB$53,MATCH(monster!C71,卡牌图鉴!$C$2:$C$57,0)) * INDEX(数值规划表!$D$61:$D$71,monster!E71+1)*血量调整,2)</f>
        <v>42.43</v>
      </c>
      <c r="H71" s="15">
        <f>ROUND(INDEX(卡牌图鉴!$AA$2:$AA$53,MATCH(monster!C71,卡牌图鉴!$C$2:$C$53,0)) * INDEX(数值规划表!$C$61:$C$71,monster!E71+1),2)</f>
        <v>95.98</v>
      </c>
      <c r="I71" s="15">
        <f>ROUND(INDEX(卡牌图鉴!$AA$2:$AA$53,MATCH(monster!C71,卡牌图鉴!$C$2:$C$53,0)) * INDEX(数值规划表!$E$61:$E$71,monster!E71+1),2)</f>
        <v>2.88</v>
      </c>
      <c r="J71" s="15">
        <f>INDEX(卡牌图鉴!$J$2:$J$53,MATCH(monster!C71,卡牌图鉴!$C$2:$C$53,0))</f>
        <v>1.2</v>
      </c>
      <c r="K71" s="15">
        <f>INDEX(卡牌图鉴!$S$2:$S$53,MATCH(monster!C71,卡牌图鉴!$C$2:$C$53,0))</f>
        <v>4</v>
      </c>
      <c r="L71" s="15">
        <f>INDEX(卡牌图鉴!$H$2:$H$53,MATCH(monster!C71,卡牌图鉴!$C$2:$C$53,0))</f>
        <v>0.8</v>
      </c>
      <c r="M71" s="15">
        <f>INDEX(卡牌图鉴!$L$2:$L$53,MATCH(monster!C71,卡牌图鉴!$C$2:$C$53,0))</f>
        <v>5</v>
      </c>
      <c r="N71" s="15">
        <f>INDEX(卡牌图鉴!$AD$2:$AD$53,MATCH(monster!C71,卡牌图鉴!$C$2:$C$53,0))</f>
        <v>8</v>
      </c>
      <c r="O71" s="78">
        <f>INDEX(卡牌图鉴!$K$2:$K$53,MATCH(monster!C71,卡牌图鉴!$C$2:$C$53,0))</f>
        <v>5</v>
      </c>
    </row>
    <row r="72" spans="1:15" x14ac:dyDescent="0.15">
      <c r="A72" s="31">
        <v>1331</v>
      </c>
      <c r="B72" s="31" t="s">
        <v>396</v>
      </c>
      <c r="C72" s="31">
        <v>1327</v>
      </c>
      <c r="D72" s="15">
        <f>INDEX(卡牌图鉴!$S$2:$S$53,MATCH(monster!C72,卡牌图鉴!$C$2:$C$53,0))</f>
        <v>4</v>
      </c>
      <c r="E72" s="31">
        <v>4</v>
      </c>
      <c r="F72" s="15">
        <f>INT(INDEX(卡牌图鉴!$AB$2:$AB$53,MATCH(monster!C72,卡牌图鉴!$C$2:$C$57,0)) * INDEX(数值规划表!$B$61:$B$71,monster!E72+1) * 血量调整)</f>
        <v>1584</v>
      </c>
      <c r="G72" s="15">
        <f>ROUND(INDEX(卡牌图鉴!$AB$2:$AB$53,MATCH(monster!C72,卡牌图鉴!$C$2:$C$57,0)) * INDEX(数值规划表!$D$61:$D$71,monster!E72+1)*血量调整,2)</f>
        <v>47.53</v>
      </c>
      <c r="H72" s="15">
        <f>ROUND(INDEX(卡牌图鉴!$AA$2:$AA$53,MATCH(monster!C72,卡牌图鉴!$C$2:$C$53,0)) * INDEX(数值规划表!$C$61:$C$71,monster!E72+1),2)</f>
        <v>107.5</v>
      </c>
      <c r="I72" s="15">
        <f>ROUND(INDEX(卡牌图鉴!$AA$2:$AA$53,MATCH(monster!C72,卡牌图鉴!$C$2:$C$53,0)) * INDEX(数值规划表!$E$61:$E$71,monster!E72+1),2)</f>
        <v>3.23</v>
      </c>
      <c r="J72" s="15">
        <f>INDEX(卡牌图鉴!$J$2:$J$53,MATCH(monster!C72,卡牌图鉴!$C$2:$C$53,0))</f>
        <v>1.2</v>
      </c>
      <c r="K72" s="15">
        <f>INDEX(卡牌图鉴!$S$2:$S$53,MATCH(monster!C72,卡牌图鉴!$C$2:$C$53,0))</f>
        <v>4</v>
      </c>
      <c r="L72" s="15">
        <f>INDEX(卡牌图鉴!$H$2:$H$53,MATCH(monster!C72,卡牌图鉴!$C$2:$C$53,0))</f>
        <v>0.8</v>
      </c>
      <c r="M72" s="15">
        <f>INDEX(卡牌图鉴!$L$2:$L$53,MATCH(monster!C72,卡牌图鉴!$C$2:$C$53,0))</f>
        <v>5</v>
      </c>
      <c r="N72" s="15">
        <f>INDEX(卡牌图鉴!$AD$2:$AD$53,MATCH(monster!C72,卡牌图鉴!$C$2:$C$53,0))</f>
        <v>8</v>
      </c>
      <c r="O72" s="78">
        <f>INDEX(卡牌图鉴!$K$2:$K$53,MATCH(monster!C72,卡牌图鉴!$C$2:$C$53,0))</f>
        <v>5</v>
      </c>
    </row>
    <row r="73" spans="1:15" x14ac:dyDescent="0.15">
      <c r="A73" s="31">
        <v>1332</v>
      </c>
      <c r="B73" s="31" t="s">
        <v>397</v>
      </c>
      <c r="C73" s="31">
        <v>1327</v>
      </c>
      <c r="D73" s="15">
        <f>INDEX(卡牌图鉴!$S$2:$S$53,MATCH(monster!C73,卡牌图鉴!$C$2:$C$53,0))</f>
        <v>4</v>
      </c>
      <c r="E73" s="31">
        <v>5</v>
      </c>
      <c r="F73" s="15">
        <f>INT(INDEX(卡牌图鉴!$AB$2:$AB$53,MATCH(monster!C73,卡牌图鉴!$C$2:$C$57,0)) * INDEX(数值规划表!$B$61:$B$71,monster!E73+1) * 血量调整)</f>
        <v>1774</v>
      </c>
      <c r="G73" s="15">
        <f>ROUND(INDEX(卡牌图鉴!$AB$2:$AB$53,MATCH(monster!C73,卡牌图鉴!$C$2:$C$57,0)) * INDEX(数值规划表!$D$61:$D$71,monster!E73+1)*血量调整,2)</f>
        <v>53.23</v>
      </c>
      <c r="H73" s="15">
        <f>ROUND(INDEX(卡牌图鉴!$AA$2:$AA$53,MATCH(monster!C73,卡牌图鉴!$C$2:$C$53,0)) * INDEX(数值规划表!$C$61:$C$71,monster!E73+1),2)</f>
        <v>120.4</v>
      </c>
      <c r="I73" s="15">
        <f>ROUND(INDEX(卡牌图鉴!$AA$2:$AA$53,MATCH(monster!C73,卡牌图鉴!$C$2:$C$53,0)) * INDEX(数值规划表!$E$61:$E$71,monster!E73+1),2)</f>
        <v>3.61</v>
      </c>
      <c r="J73" s="15">
        <f>INDEX(卡牌图鉴!$J$2:$J$53,MATCH(monster!C73,卡牌图鉴!$C$2:$C$53,0))</f>
        <v>1.2</v>
      </c>
      <c r="K73" s="15">
        <f>INDEX(卡牌图鉴!$S$2:$S$53,MATCH(monster!C73,卡牌图鉴!$C$2:$C$53,0))</f>
        <v>4</v>
      </c>
      <c r="L73" s="15">
        <f>INDEX(卡牌图鉴!$H$2:$H$53,MATCH(monster!C73,卡牌图鉴!$C$2:$C$53,0))</f>
        <v>0.8</v>
      </c>
      <c r="M73" s="15">
        <f>INDEX(卡牌图鉴!$L$2:$L$53,MATCH(monster!C73,卡牌图鉴!$C$2:$C$53,0))</f>
        <v>5</v>
      </c>
      <c r="N73" s="15">
        <f>INDEX(卡牌图鉴!$AD$2:$AD$53,MATCH(monster!C73,卡牌图鉴!$C$2:$C$53,0))</f>
        <v>8</v>
      </c>
      <c r="O73" s="78">
        <f>INDEX(卡牌图鉴!$K$2:$K$53,MATCH(monster!C73,卡牌图鉴!$C$2:$C$53,0))</f>
        <v>5</v>
      </c>
    </row>
    <row r="74" spans="1:15" x14ac:dyDescent="0.15">
      <c r="A74" s="31">
        <v>1333</v>
      </c>
      <c r="B74" s="31" t="s">
        <v>398</v>
      </c>
      <c r="C74" s="31">
        <v>1327</v>
      </c>
      <c r="D74" s="15">
        <f>INDEX(卡牌图鉴!$S$2:$S$53,MATCH(monster!C74,卡牌图鉴!$C$2:$C$53,0))</f>
        <v>4</v>
      </c>
      <c r="E74" s="31">
        <v>6</v>
      </c>
      <c r="F74" s="15">
        <f>INT(INDEX(卡牌图鉴!$AB$2:$AB$53,MATCH(monster!C74,卡牌图鉴!$C$2:$C$57,0)) * INDEX(数值规划表!$B$61:$B$71,monster!E74+1) * 血量调整)</f>
        <v>1987</v>
      </c>
      <c r="G74" s="15">
        <f>ROUND(INDEX(卡牌图鉴!$AB$2:$AB$53,MATCH(monster!C74,卡牌图鉴!$C$2:$C$57,0)) * INDEX(数值规划表!$D$61:$D$71,monster!E74+1)*血量调整,2)</f>
        <v>59.62</v>
      </c>
      <c r="H74" s="15">
        <f>ROUND(INDEX(卡牌图鉴!$AA$2:$AA$53,MATCH(monster!C74,卡牌图鉴!$C$2:$C$53,0)) * INDEX(数值规划表!$C$61:$C$71,monster!E74+1),2)</f>
        <v>134.85</v>
      </c>
      <c r="I74" s="15">
        <f>ROUND(INDEX(卡牌图鉴!$AA$2:$AA$53,MATCH(monster!C74,卡牌图鉴!$C$2:$C$53,0)) * INDEX(数值规划表!$E$61:$E$71,monster!E74+1),2)</f>
        <v>4.05</v>
      </c>
      <c r="J74" s="15">
        <f>INDEX(卡牌图鉴!$J$2:$J$53,MATCH(monster!C74,卡牌图鉴!$C$2:$C$53,0))</f>
        <v>1.2</v>
      </c>
      <c r="K74" s="15">
        <f>INDEX(卡牌图鉴!$S$2:$S$53,MATCH(monster!C74,卡牌图鉴!$C$2:$C$53,0))</f>
        <v>4</v>
      </c>
      <c r="L74" s="15">
        <f>INDEX(卡牌图鉴!$H$2:$H$53,MATCH(monster!C74,卡牌图鉴!$C$2:$C$53,0))</f>
        <v>0.8</v>
      </c>
      <c r="M74" s="15">
        <f>INDEX(卡牌图鉴!$L$2:$L$53,MATCH(monster!C74,卡牌图鉴!$C$2:$C$53,0))</f>
        <v>5</v>
      </c>
      <c r="N74" s="15">
        <f>INDEX(卡牌图鉴!$AD$2:$AD$53,MATCH(monster!C74,卡牌图鉴!$C$2:$C$53,0))</f>
        <v>8</v>
      </c>
      <c r="O74" s="78">
        <f>INDEX(卡牌图鉴!$K$2:$K$53,MATCH(monster!C74,卡牌图鉴!$C$2:$C$53,0))</f>
        <v>5</v>
      </c>
    </row>
    <row r="75" spans="1:15" x14ac:dyDescent="0.15">
      <c r="A75" s="31">
        <v>1334</v>
      </c>
      <c r="B75" s="31" t="s">
        <v>399</v>
      </c>
      <c r="C75" s="31">
        <v>1327</v>
      </c>
      <c r="D75" s="15">
        <f>INDEX(卡牌图鉴!$S$2:$S$53,MATCH(monster!C75,卡牌图鉴!$C$2:$C$53,0))</f>
        <v>4</v>
      </c>
      <c r="E75" s="31">
        <v>7</v>
      </c>
      <c r="F75" s="15">
        <f>INT(INDEX(卡牌图鉴!$AB$2:$AB$53,MATCH(monster!C75,卡牌图鉴!$C$2:$C$57,0)) * INDEX(数值规划表!$B$61:$B$71,monster!E75+1) * 血量调整)</f>
        <v>2225</v>
      </c>
      <c r="G75" s="15">
        <f>ROUND(INDEX(卡牌图鉴!$AB$2:$AB$53,MATCH(monster!C75,卡牌图鉴!$C$2:$C$57,0)) * INDEX(数值规划表!$D$61:$D$71,monster!E75+1)*血量调整,2)</f>
        <v>66.77</v>
      </c>
      <c r="H75" s="15">
        <f>ROUND(INDEX(卡牌图鉴!$AA$2:$AA$53,MATCH(monster!C75,卡牌图鉴!$C$2:$C$53,0)) * INDEX(数值规划表!$C$61:$C$71,monster!E75+1),2)</f>
        <v>151.03</v>
      </c>
      <c r="I75" s="15">
        <f>ROUND(INDEX(卡牌图鉴!$AA$2:$AA$53,MATCH(monster!C75,卡牌图鉴!$C$2:$C$53,0)) * INDEX(数值规划表!$E$61:$E$71,monster!E75+1),2)</f>
        <v>4.53</v>
      </c>
      <c r="J75" s="15">
        <f>INDEX(卡牌图鉴!$J$2:$J$53,MATCH(monster!C75,卡牌图鉴!$C$2:$C$53,0))</f>
        <v>1.2</v>
      </c>
      <c r="K75" s="15">
        <f>INDEX(卡牌图鉴!$S$2:$S$53,MATCH(monster!C75,卡牌图鉴!$C$2:$C$53,0))</f>
        <v>4</v>
      </c>
      <c r="L75" s="15">
        <f>INDEX(卡牌图鉴!$H$2:$H$53,MATCH(monster!C75,卡牌图鉴!$C$2:$C$53,0))</f>
        <v>0.8</v>
      </c>
      <c r="M75" s="15">
        <f>INDEX(卡牌图鉴!$L$2:$L$53,MATCH(monster!C75,卡牌图鉴!$C$2:$C$53,0))</f>
        <v>5</v>
      </c>
      <c r="N75" s="15">
        <f>INDEX(卡牌图鉴!$AD$2:$AD$53,MATCH(monster!C75,卡牌图鉴!$C$2:$C$53,0))</f>
        <v>8</v>
      </c>
      <c r="O75" s="78">
        <f>INDEX(卡牌图鉴!$K$2:$K$53,MATCH(monster!C75,卡牌图鉴!$C$2:$C$53,0))</f>
        <v>5</v>
      </c>
    </row>
    <row r="76" spans="1:15" x14ac:dyDescent="0.15">
      <c r="A76" s="31">
        <v>1335</v>
      </c>
      <c r="B76" s="31" t="s">
        <v>400</v>
      </c>
      <c r="C76" s="31">
        <v>1327</v>
      </c>
      <c r="D76" s="15">
        <f>INDEX(卡牌图鉴!$S$2:$S$53,MATCH(monster!C76,卡牌图鉴!$C$2:$C$53,0))</f>
        <v>4</v>
      </c>
      <c r="E76" s="31">
        <v>8</v>
      </c>
      <c r="F76" s="15">
        <f>INT(INDEX(卡牌图鉴!$AB$2:$AB$53,MATCH(monster!C76,卡牌图鉴!$C$2:$C$57,0)) * INDEX(数值规划表!$B$61:$B$71,monster!E76+1) * 血量调整)</f>
        <v>2492</v>
      </c>
      <c r="G76" s="15">
        <f>ROUND(INDEX(卡牌图鉴!$AB$2:$AB$53,MATCH(monster!C76,卡牌图鉴!$C$2:$C$57,0)) * INDEX(数值规划表!$D$61:$D$71,monster!E76+1)*血量调整,2)</f>
        <v>74.78</v>
      </c>
      <c r="H76" s="15">
        <f>ROUND(INDEX(卡牌图鉴!$AA$2:$AA$53,MATCH(monster!C76,卡牌图鉴!$C$2:$C$53,0)) * INDEX(数值规划表!$C$61:$C$71,monster!E76+1),2)</f>
        <v>169.16</v>
      </c>
      <c r="I76" s="15">
        <f>ROUND(INDEX(卡牌图鉴!$AA$2:$AA$53,MATCH(monster!C76,卡牌图鉴!$C$2:$C$53,0)) * INDEX(数值规划表!$E$61:$E$71,monster!E76+1),2)</f>
        <v>5.07</v>
      </c>
      <c r="J76" s="15">
        <f>INDEX(卡牌图鉴!$J$2:$J$53,MATCH(monster!C76,卡牌图鉴!$C$2:$C$53,0))</f>
        <v>1.2</v>
      </c>
      <c r="K76" s="15">
        <f>INDEX(卡牌图鉴!$S$2:$S$53,MATCH(monster!C76,卡牌图鉴!$C$2:$C$53,0))</f>
        <v>4</v>
      </c>
      <c r="L76" s="15">
        <f>INDEX(卡牌图鉴!$H$2:$H$53,MATCH(monster!C76,卡牌图鉴!$C$2:$C$53,0))</f>
        <v>0.8</v>
      </c>
      <c r="M76" s="15">
        <f>INDEX(卡牌图鉴!$L$2:$L$53,MATCH(monster!C76,卡牌图鉴!$C$2:$C$53,0))</f>
        <v>5</v>
      </c>
      <c r="N76" s="15">
        <f>INDEX(卡牌图鉴!$AD$2:$AD$53,MATCH(monster!C76,卡牌图鉴!$C$2:$C$53,0))</f>
        <v>8</v>
      </c>
      <c r="O76" s="78">
        <f>INDEX(卡牌图鉴!$K$2:$K$53,MATCH(monster!C76,卡牌图鉴!$C$2:$C$53,0))</f>
        <v>5</v>
      </c>
    </row>
    <row r="77" spans="1:15" x14ac:dyDescent="0.15">
      <c r="A77" s="31">
        <v>1336</v>
      </c>
      <c r="B77" s="31" t="s">
        <v>401</v>
      </c>
      <c r="C77" s="31">
        <v>1327</v>
      </c>
      <c r="D77" s="15">
        <f>INDEX(卡牌图鉴!$S$2:$S$53,MATCH(monster!C77,卡牌图鉴!$C$2:$C$53,0))</f>
        <v>4</v>
      </c>
      <c r="E77" s="31">
        <v>9</v>
      </c>
      <c r="F77" s="15">
        <f>INT(INDEX(卡牌图鉴!$AB$2:$AB$53,MATCH(monster!C77,卡牌图鉴!$C$2:$C$57,0)) * INDEX(数值规划表!$B$61:$B$71,monster!E77+1) * 血量调整)</f>
        <v>2791</v>
      </c>
      <c r="G77" s="15">
        <f>ROUND(INDEX(卡牌图鉴!$AB$2:$AB$53,MATCH(monster!C77,卡牌图鉴!$C$2:$C$57,0)) * INDEX(数值规划表!$D$61:$D$71,monster!E77+1)*血量调整,2)</f>
        <v>83.76</v>
      </c>
      <c r="H77" s="15">
        <f>ROUND(INDEX(卡牌图鉴!$AA$2:$AA$53,MATCH(monster!C77,卡牌图鉴!$C$2:$C$53,0)) * INDEX(数值规划表!$C$61:$C$71,monster!E77+1),2)</f>
        <v>189.46</v>
      </c>
      <c r="I77" s="15">
        <f>ROUND(INDEX(卡牌图鉴!$AA$2:$AA$53,MATCH(monster!C77,卡牌图鉴!$C$2:$C$53,0)) * INDEX(数值规划表!$E$61:$E$71,monster!E77+1),2)</f>
        <v>5.68</v>
      </c>
      <c r="J77" s="15">
        <f>INDEX(卡牌图鉴!$J$2:$J$53,MATCH(monster!C77,卡牌图鉴!$C$2:$C$53,0))</f>
        <v>1.2</v>
      </c>
      <c r="K77" s="15">
        <f>INDEX(卡牌图鉴!$S$2:$S$53,MATCH(monster!C77,卡牌图鉴!$C$2:$C$53,0))</f>
        <v>4</v>
      </c>
      <c r="L77" s="15">
        <f>INDEX(卡牌图鉴!$H$2:$H$53,MATCH(monster!C77,卡牌图鉴!$C$2:$C$53,0))</f>
        <v>0.8</v>
      </c>
      <c r="M77" s="15">
        <f>INDEX(卡牌图鉴!$L$2:$L$53,MATCH(monster!C77,卡牌图鉴!$C$2:$C$53,0))</f>
        <v>5</v>
      </c>
      <c r="N77" s="15">
        <f>INDEX(卡牌图鉴!$AD$2:$AD$53,MATCH(monster!C77,卡牌图鉴!$C$2:$C$53,0))</f>
        <v>8</v>
      </c>
      <c r="O77" s="78">
        <f>INDEX(卡牌图鉴!$K$2:$K$53,MATCH(monster!C77,卡牌图鉴!$C$2:$C$53,0))</f>
        <v>5</v>
      </c>
    </row>
    <row r="78" spans="1:15" x14ac:dyDescent="0.15">
      <c r="A78" s="31">
        <v>1337</v>
      </c>
      <c r="B78" s="31" t="s">
        <v>402</v>
      </c>
      <c r="C78" s="31">
        <v>1327</v>
      </c>
      <c r="D78" s="15">
        <f>INDEX(卡牌图鉴!$S$2:$S$53,MATCH(monster!C78,卡牌图鉴!$C$2:$C$53,0))</f>
        <v>4</v>
      </c>
      <c r="E78" s="31">
        <v>10</v>
      </c>
      <c r="F78" s="15">
        <f>INT(INDEX(卡牌图鉴!$AB$2:$AB$53,MATCH(monster!C78,卡牌图鉴!$C$2:$C$57,0)) * INDEX(数值规划表!$B$61:$B$71,monster!E78+1) * 血量调整)</f>
        <v>3126</v>
      </c>
      <c r="G78" s="15">
        <f>ROUND(INDEX(卡牌图鉴!$AB$2:$AB$53,MATCH(monster!C78,卡牌图鉴!$C$2:$C$57,0)) * INDEX(数值规划表!$D$61:$D$71,monster!E78+1)*血量调整,2)</f>
        <v>93.81</v>
      </c>
      <c r="H78" s="15">
        <f>ROUND(INDEX(卡牌图鉴!$AA$2:$AA$53,MATCH(monster!C78,卡牌图鉴!$C$2:$C$53,0)) * INDEX(数值规划表!$C$61:$C$71,monster!E78+1),2)</f>
        <v>212.19</v>
      </c>
      <c r="I78" s="15">
        <f>ROUND(INDEX(卡牌图鉴!$AA$2:$AA$53,MATCH(monster!C78,卡牌图鉴!$C$2:$C$53,0)) * INDEX(数值规划表!$E$61:$E$71,monster!E78+1),2)</f>
        <v>6.37</v>
      </c>
      <c r="J78" s="15">
        <f>INDEX(卡牌图鉴!$J$2:$J$53,MATCH(monster!C78,卡牌图鉴!$C$2:$C$53,0))</f>
        <v>1.2</v>
      </c>
      <c r="K78" s="15">
        <f>INDEX(卡牌图鉴!$S$2:$S$53,MATCH(monster!C78,卡牌图鉴!$C$2:$C$53,0))</f>
        <v>4</v>
      </c>
      <c r="L78" s="15">
        <f>INDEX(卡牌图鉴!$H$2:$H$53,MATCH(monster!C78,卡牌图鉴!$C$2:$C$53,0))</f>
        <v>0.8</v>
      </c>
      <c r="M78" s="15">
        <f>INDEX(卡牌图鉴!$L$2:$L$53,MATCH(monster!C78,卡牌图鉴!$C$2:$C$53,0))</f>
        <v>5</v>
      </c>
      <c r="N78" s="15">
        <f>INDEX(卡牌图鉴!$AD$2:$AD$53,MATCH(monster!C78,卡牌图鉴!$C$2:$C$53,0))</f>
        <v>8</v>
      </c>
      <c r="O78" s="78">
        <f>INDEX(卡牌图鉴!$K$2:$K$53,MATCH(monster!C78,卡牌图鉴!$C$2:$C$53,0))</f>
        <v>5</v>
      </c>
    </row>
    <row r="79" spans="1:15" x14ac:dyDescent="0.15">
      <c r="A79" s="31">
        <v>1294</v>
      </c>
      <c r="B79" s="31" t="s">
        <v>1424</v>
      </c>
      <c r="C79" s="31">
        <v>1294</v>
      </c>
      <c r="D79" s="15">
        <f>INDEX(卡牌图鉴!$S$2:$S$53,MATCH(monster!C79,卡牌图鉴!$C$2:$C$53,0))</f>
        <v>4</v>
      </c>
      <c r="E79" s="31">
        <v>0</v>
      </c>
      <c r="F79" s="15">
        <f>INT(INDEX(卡牌图鉴!$AB$2:$AB$53,MATCH(monster!C79,卡牌图鉴!$C$2:$C$57,0)) * INDEX(数值规划表!$B$61:$B$71,monster!E79+1) * 血量调整)</f>
        <v>258</v>
      </c>
      <c r="G79" s="15">
        <f>ROUND(INDEX(卡牌图鉴!$AB$2:$AB$53,MATCH(monster!C79,卡牌图鉴!$C$2:$C$57,0)) * INDEX(数值规划表!$D$61:$D$71,monster!E79+1)*血量调整,2)</f>
        <v>7.75</v>
      </c>
      <c r="H79" s="15">
        <f>ROUND(INDEX(卡牌图鉴!$AA$2:$AA$53,MATCH(monster!C79,卡牌图鉴!$C$2:$C$53,0)) * INDEX(数值规划表!$C$61:$C$71,monster!E79+1),2)</f>
        <v>64.22</v>
      </c>
      <c r="I79" s="15">
        <f>ROUND(INDEX(卡牌图鉴!$AA$2:$AA$53,MATCH(monster!C79,卡牌图鉴!$C$2:$C$53,0)) * INDEX(数值规划表!$E$61:$E$71,monster!E79+1),2)</f>
        <v>1.93</v>
      </c>
      <c r="J79" s="15">
        <f>INDEX(卡牌图鉴!$J$2:$J$53,MATCH(monster!C79,卡牌图鉴!$C$2:$C$53,0))</f>
        <v>6</v>
      </c>
      <c r="K79" s="15">
        <f>INDEX(卡牌图鉴!$S$2:$S$53,MATCH(monster!C79,卡牌图鉴!$C$2:$C$53,0))</f>
        <v>4</v>
      </c>
      <c r="L79" s="15">
        <f>INDEX(卡牌图鉴!$H$2:$H$53,MATCH(monster!C79,卡牌图鉴!$C$2:$C$53,0))</f>
        <v>1.1000000000000001</v>
      </c>
      <c r="M79" s="15">
        <f>INDEX(卡牌图鉴!$L$2:$L$53,MATCH(monster!C79,卡牌图鉴!$C$2:$C$53,0))</f>
        <v>4</v>
      </c>
      <c r="N79" s="15">
        <f>INDEX(卡牌图鉴!$AD$2:$AD$53,MATCH(monster!C79,卡牌图鉴!$C$2:$C$53,0))</f>
        <v>8</v>
      </c>
      <c r="O79" s="78">
        <f>INDEX(卡牌图鉴!$K$2:$K$53,MATCH(monster!C79,卡牌图鉴!$C$2:$C$53,0))</f>
        <v>4</v>
      </c>
    </row>
    <row r="80" spans="1:15" x14ac:dyDescent="0.15">
      <c r="A80" s="31">
        <v>1295</v>
      </c>
      <c r="B80" s="31" t="s">
        <v>1425</v>
      </c>
      <c r="C80" s="31">
        <v>1294</v>
      </c>
      <c r="D80" s="15">
        <f>INDEX(卡牌图鉴!$S$2:$S$53,MATCH(monster!C80,卡牌图鉴!$C$2:$C$53,0))</f>
        <v>4</v>
      </c>
      <c r="E80" s="31">
        <v>1</v>
      </c>
      <c r="F80" s="15">
        <f>INT(INDEX(卡牌图鉴!$AB$2:$AB$53,MATCH(monster!C80,卡牌图鉴!$C$2:$C$57,0)) * INDEX(数值规划表!$B$61:$B$71,monster!E80+1) * 血量调整)</f>
        <v>289</v>
      </c>
      <c r="G80" s="15">
        <f>ROUND(INDEX(卡牌图鉴!$AB$2:$AB$53,MATCH(monster!C80,卡牌图鉴!$C$2:$C$57,0)) * INDEX(数值规划表!$D$61:$D$71,monster!E80+1)*血量调整,2)</f>
        <v>8.68</v>
      </c>
      <c r="H80" s="15">
        <f>ROUND(INDEX(卡牌图鉴!$AA$2:$AA$53,MATCH(monster!C80,卡牌图鉴!$C$2:$C$53,0)) * INDEX(数值规划表!$C$61:$C$71,monster!E80+1),2)</f>
        <v>71.930000000000007</v>
      </c>
      <c r="I80" s="15">
        <f>ROUND(INDEX(卡牌图鉴!$AA$2:$AA$53,MATCH(monster!C80,卡牌图鉴!$C$2:$C$53,0)) * INDEX(数值规划表!$E$61:$E$71,monster!E80+1),2)</f>
        <v>2.16</v>
      </c>
      <c r="J80" s="15">
        <f>INDEX(卡牌图鉴!$J$2:$J$53,MATCH(monster!C80,卡牌图鉴!$C$2:$C$53,0))</f>
        <v>6</v>
      </c>
      <c r="K80" s="15">
        <f>INDEX(卡牌图鉴!$S$2:$S$53,MATCH(monster!C80,卡牌图鉴!$C$2:$C$53,0))</f>
        <v>4</v>
      </c>
      <c r="L80" s="15">
        <f>INDEX(卡牌图鉴!$H$2:$H$53,MATCH(monster!C80,卡牌图鉴!$C$2:$C$53,0))</f>
        <v>1.1000000000000001</v>
      </c>
      <c r="M80" s="15">
        <f>INDEX(卡牌图鉴!$L$2:$L$53,MATCH(monster!C80,卡牌图鉴!$C$2:$C$53,0))</f>
        <v>4</v>
      </c>
      <c r="N80" s="15">
        <f>INDEX(卡牌图鉴!$AD$2:$AD$53,MATCH(monster!C80,卡牌图鉴!$C$2:$C$53,0))</f>
        <v>8</v>
      </c>
      <c r="O80" s="78">
        <f>INDEX(卡牌图鉴!$K$2:$K$53,MATCH(monster!C80,卡牌图鉴!$C$2:$C$53,0))</f>
        <v>4</v>
      </c>
    </row>
    <row r="81" spans="1:15" x14ac:dyDescent="0.15">
      <c r="A81" s="31">
        <v>1296</v>
      </c>
      <c r="B81" s="31" t="s">
        <v>368</v>
      </c>
      <c r="C81" s="31">
        <v>1294</v>
      </c>
      <c r="D81" s="15">
        <f>INDEX(卡牌图鉴!$S$2:$S$53,MATCH(monster!C81,卡牌图鉴!$C$2:$C$53,0))</f>
        <v>4</v>
      </c>
      <c r="E81" s="31">
        <v>2</v>
      </c>
      <c r="F81" s="15">
        <f>INT(INDEX(卡牌图鉴!$AB$2:$AB$53,MATCH(monster!C81,卡牌图鉴!$C$2:$C$57,0)) * INDEX(数值规划表!$B$61:$B$71,monster!E81+1) * 血量调整)</f>
        <v>324</v>
      </c>
      <c r="G81" s="15">
        <f>ROUND(INDEX(卡牌图鉴!$AB$2:$AB$53,MATCH(monster!C81,卡牌图鉴!$C$2:$C$57,0)) * INDEX(数值规划表!$D$61:$D$71,monster!E81+1)*血量调整,2)</f>
        <v>9.7200000000000006</v>
      </c>
      <c r="H81" s="15">
        <f>ROUND(INDEX(卡牌图鉴!$AA$2:$AA$53,MATCH(monster!C81,卡牌图鉴!$C$2:$C$53,0)) * INDEX(数值规划表!$C$61:$C$71,monster!E81+1),2)</f>
        <v>80.56</v>
      </c>
      <c r="I81" s="15">
        <f>ROUND(INDEX(卡牌图鉴!$AA$2:$AA$53,MATCH(monster!C81,卡牌图鉴!$C$2:$C$53,0)) * INDEX(数值规划表!$E$61:$E$71,monster!E81+1),2)</f>
        <v>2.42</v>
      </c>
      <c r="J81" s="15">
        <f>INDEX(卡牌图鉴!$J$2:$J$53,MATCH(monster!C81,卡牌图鉴!$C$2:$C$53,0))</f>
        <v>6</v>
      </c>
      <c r="K81" s="15">
        <f>INDEX(卡牌图鉴!$S$2:$S$53,MATCH(monster!C81,卡牌图鉴!$C$2:$C$53,0))</f>
        <v>4</v>
      </c>
      <c r="L81" s="15">
        <f>INDEX(卡牌图鉴!$H$2:$H$53,MATCH(monster!C81,卡牌图鉴!$C$2:$C$53,0))</f>
        <v>1.1000000000000001</v>
      </c>
      <c r="M81" s="15">
        <f>INDEX(卡牌图鉴!$L$2:$L$53,MATCH(monster!C81,卡牌图鉴!$C$2:$C$53,0))</f>
        <v>4</v>
      </c>
      <c r="N81" s="15">
        <f>INDEX(卡牌图鉴!$AD$2:$AD$53,MATCH(monster!C81,卡牌图鉴!$C$2:$C$53,0))</f>
        <v>8</v>
      </c>
      <c r="O81" s="78">
        <f>INDEX(卡牌图鉴!$K$2:$K$53,MATCH(monster!C81,卡牌图鉴!$C$2:$C$53,0))</f>
        <v>4</v>
      </c>
    </row>
    <row r="82" spans="1:15" x14ac:dyDescent="0.15">
      <c r="A82" s="31">
        <v>1297</v>
      </c>
      <c r="B82" s="31" t="s">
        <v>369</v>
      </c>
      <c r="C82" s="31">
        <v>1294</v>
      </c>
      <c r="D82" s="15">
        <f>INDEX(卡牌图鉴!$S$2:$S$53,MATCH(monster!C82,卡牌图鉴!$C$2:$C$53,0))</f>
        <v>4</v>
      </c>
      <c r="E82" s="31">
        <v>3</v>
      </c>
      <c r="F82" s="15">
        <f>INT(INDEX(卡牌图鉴!$AB$2:$AB$53,MATCH(monster!C82,卡牌图鉴!$C$2:$C$57,0)) * INDEX(数值规划表!$B$61:$B$71,monster!E82+1) * 血量调整)</f>
        <v>362</v>
      </c>
      <c r="G82" s="15">
        <f>ROUND(INDEX(卡牌图鉴!$AB$2:$AB$53,MATCH(monster!C82,卡牌图鉴!$C$2:$C$57,0)) * INDEX(数值规划表!$D$61:$D$71,monster!E82+1)*血量调整,2)</f>
        <v>10.89</v>
      </c>
      <c r="H82" s="15">
        <f>ROUND(INDEX(卡牌图鉴!$AA$2:$AA$53,MATCH(monster!C82,卡牌图鉴!$C$2:$C$53,0)) * INDEX(数值规划表!$C$61:$C$71,monster!E82+1),2)</f>
        <v>90.22</v>
      </c>
      <c r="I82" s="15">
        <f>ROUND(INDEX(卡牌图鉴!$AA$2:$AA$53,MATCH(monster!C82,卡牌图鉴!$C$2:$C$53,0)) * INDEX(数值规划表!$E$61:$E$71,monster!E82+1),2)</f>
        <v>2.71</v>
      </c>
      <c r="J82" s="15">
        <f>INDEX(卡牌图鉴!$J$2:$J$53,MATCH(monster!C82,卡牌图鉴!$C$2:$C$53,0))</f>
        <v>6</v>
      </c>
      <c r="K82" s="15">
        <f>INDEX(卡牌图鉴!$S$2:$S$53,MATCH(monster!C82,卡牌图鉴!$C$2:$C$53,0))</f>
        <v>4</v>
      </c>
      <c r="L82" s="15">
        <f>INDEX(卡牌图鉴!$H$2:$H$53,MATCH(monster!C82,卡牌图鉴!$C$2:$C$53,0))</f>
        <v>1.1000000000000001</v>
      </c>
      <c r="M82" s="15">
        <f>INDEX(卡牌图鉴!$L$2:$L$53,MATCH(monster!C82,卡牌图鉴!$C$2:$C$53,0))</f>
        <v>4</v>
      </c>
      <c r="N82" s="15">
        <f>INDEX(卡牌图鉴!$AD$2:$AD$53,MATCH(monster!C82,卡牌图鉴!$C$2:$C$53,0))</f>
        <v>8</v>
      </c>
      <c r="O82" s="78">
        <f>INDEX(卡牌图鉴!$K$2:$K$53,MATCH(monster!C82,卡牌图鉴!$C$2:$C$53,0))</f>
        <v>4</v>
      </c>
    </row>
    <row r="83" spans="1:15" x14ac:dyDescent="0.15">
      <c r="A83" s="31">
        <v>1298</v>
      </c>
      <c r="B83" s="31" t="s">
        <v>370</v>
      </c>
      <c r="C83" s="31">
        <v>1294</v>
      </c>
      <c r="D83" s="15">
        <f>INDEX(卡牌图鉴!$S$2:$S$53,MATCH(monster!C83,卡牌图鉴!$C$2:$C$53,0))</f>
        <v>4</v>
      </c>
      <c r="E83" s="31">
        <v>4</v>
      </c>
      <c r="F83" s="15">
        <f>INT(INDEX(卡牌图鉴!$AB$2:$AB$53,MATCH(monster!C83,卡牌图鉴!$C$2:$C$57,0)) * INDEX(数值规划表!$B$61:$B$71,monster!E83+1) * 血量调整)</f>
        <v>406</v>
      </c>
      <c r="G83" s="15">
        <f>ROUND(INDEX(卡牌图鉴!$AB$2:$AB$53,MATCH(monster!C83,卡牌图鉴!$C$2:$C$57,0)) * INDEX(数值规划表!$D$61:$D$71,monster!E83+1)*血量调整,2)</f>
        <v>12.19</v>
      </c>
      <c r="H83" s="15">
        <f>ROUND(INDEX(卡牌图鉴!$AA$2:$AA$53,MATCH(monster!C83,卡牌图鉴!$C$2:$C$53,0)) * INDEX(数值规划表!$C$61:$C$71,monster!E83+1),2)</f>
        <v>101.05</v>
      </c>
      <c r="I83" s="15">
        <f>ROUND(INDEX(卡牌图鉴!$AA$2:$AA$53,MATCH(monster!C83,卡牌图鉴!$C$2:$C$53,0)) * INDEX(数值规划表!$E$61:$E$71,monster!E83+1),2)</f>
        <v>3.03</v>
      </c>
      <c r="J83" s="15">
        <f>INDEX(卡牌图鉴!$J$2:$J$53,MATCH(monster!C83,卡牌图鉴!$C$2:$C$53,0))</f>
        <v>6</v>
      </c>
      <c r="K83" s="15">
        <f>INDEX(卡牌图鉴!$S$2:$S$53,MATCH(monster!C83,卡牌图鉴!$C$2:$C$53,0))</f>
        <v>4</v>
      </c>
      <c r="L83" s="15">
        <f>INDEX(卡牌图鉴!$H$2:$H$53,MATCH(monster!C83,卡牌图鉴!$C$2:$C$53,0))</f>
        <v>1.1000000000000001</v>
      </c>
      <c r="M83" s="15">
        <f>INDEX(卡牌图鉴!$L$2:$L$53,MATCH(monster!C83,卡牌图鉴!$C$2:$C$53,0))</f>
        <v>4</v>
      </c>
      <c r="N83" s="15">
        <f>INDEX(卡牌图鉴!$AD$2:$AD$53,MATCH(monster!C83,卡牌图鉴!$C$2:$C$53,0))</f>
        <v>8</v>
      </c>
      <c r="O83" s="78">
        <f>INDEX(卡牌图鉴!$K$2:$K$53,MATCH(monster!C83,卡牌图鉴!$C$2:$C$53,0))</f>
        <v>4</v>
      </c>
    </row>
    <row r="84" spans="1:15" x14ac:dyDescent="0.15">
      <c r="A84" s="31">
        <v>1299</v>
      </c>
      <c r="B84" s="31" t="s">
        <v>371</v>
      </c>
      <c r="C84" s="31">
        <v>1294</v>
      </c>
      <c r="D84" s="15">
        <f>INDEX(卡牌图鉴!$S$2:$S$53,MATCH(monster!C84,卡牌图鉴!$C$2:$C$53,0))</f>
        <v>4</v>
      </c>
      <c r="E84" s="31">
        <v>5</v>
      </c>
      <c r="F84" s="15">
        <f>INT(INDEX(卡牌图鉴!$AB$2:$AB$53,MATCH(monster!C84,卡牌图鉴!$C$2:$C$57,0)) * INDEX(数值规划表!$B$61:$B$71,monster!E84+1) * 血量调整)</f>
        <v>455</v>
      </c>
      <c r="G84" s="15">
        <f>ROUND(INDEX(卡牌图鉴!$AB$2:$AB$53,MATCH(monster!C84,卡牌图鉴!$C$2:$C$57,0)) * INDEX(数值规划表!$D$61:$D$71,monster!E84+1)*血量调整,2)</f>
        <v>13.66</v>
      </c>
      <c r="H84" s="15">
        <f>ROUND(INDEX(卡牌图鉴!$AA$2:$AA$53,MATCH(monster!C84,卡牌图鉴!$C$2:$C$53,0)) * INDEX(数值规划表!$C$61:$C$71,monster!E84+1),2)</f>
        <v>113.18</v>
      </c>
      <c r="I84" s="15">
        <f>ROUND(INDEX(卡牌图鉴!$AA$2:$AA$53,MATCH(monster!C84,卡牌图鉴!$C$2:$C$53,0)) * INDEX(数值规划表!$E$61:$E$71,monster!E84+1),2)</f>
        <v>3.4</v>
      </c>
      <c r="J84" s="15">
        <f>INDEX(卡牌图鉴!$J$2:$J$53,MATCH(monster!C84,卡牌图鉴!$C$2:$C$53,0))</f>
        <v>6</v>
      </c>
      <c r="K84" s="15">
        <f>INDEX(卡牌图鉴!$S$2:$S$53,MATCH(monster!C84,卡牌图鉴!$C$2:$C$53,0))</f>
        <v>4</v>
      </c>
      <c r="L84" s="15">
        <f>INDEX(卡牌图鉴!$H$2:$H$53,MATCH(monster!C84,卡牌图鉴!$C$2:$C$53,0))</f>
        <v>1.1000000000000001</v>
      </c>
      <c r="M84" s="15">
        <f>INDEX(卡牌图鉴!$L$2:$L$53,MATCH(monster!C84,卡牌图鉴!$C$2:$C$53,0))</f>
        <v>4</v>
      </c>
      <c r="N84" s="15">
        <f>INDEX(卡牌图鉴!$AD$2:$AD$53,MATCH(monster!C84,卡牌图鉴!$C$2:$C$53,0))</f>
        <v>8</v>
      </c>
      <c r="O84" s="78">
        <f>INDEX(卡牌图鉴!$K$2:$K$53,MATCH(monster!C84,卡牌图鉴!$C$2:$C$53,0))</f>
        <v>4</v>
      </c>
    </row>
    <row r="85" spans="1:15" x14ac:dyDescent="0.15">
      <c r="A85" s="31">
        <v>1300</v>
      </c>
      <c r="B85" s="31" t="s">
        <v>372</v>
      </c>
      <c r="C85" s="31">
        <v>1294</v>
      </c>
      <c r="D85" s="15">
        <f>INDEX(卡牌图鉴!$S$2:$S$53,MATCH(monster!C85,卡牌图鉴!$C$2:$C$53,0))</f>
        <v>4</v>
      </c>
      <c r="E85" s="31">
        <v>6</v>
      </c>
      <c r="F85" s="15">
        <f>INT(INDEX(卡牌图鉴!$AB$2:$AB$53,MATCH(monster!C85,卡牌图鉴!$C$2:$C$57,0)) * INDEX(数值规划表!$B$61:$B$71,monster!E85+1) * 血量调整)</f>
        <v>509</v>
      </c>
      <c r="G85" s="15">
        <f>ROUND(INDEX(卡牌图鉴!$AB$2:$AB$53,MATCH(monster!C85,卡牌图鉴!$C$2:$C$57,0)) * INDEX(数值规划表!$D$61:$D$71,monster!E85+1)*血量调整,2)</f>
        <v>15.3</v>
      </c>
      <c r="H85" s="15">
        <f>ROUND(INDEX(卡牌图鉴!$AA$2:$AA$53,MATCH(monster!C85,卡牌图鉴!$C$2:$C$53,0)) * INDEX(数值规划表!$C$61:$C$71,monster!E85+1),2)</f>
        <v>126.76</v>
      </c>
      <c r="I85" s="15">
        <f>ROUND(INDEX(卡牌图鉴!$AA$2:$AA$53,MATCH(monster!C85,卡牌图鉴!$C$2:$C$53,0)) * INDEX(数值规划表!$E$61:$E$71,monster!E85+1),2)</f>
        <v>3.8</v>
      </c>
      <c r="J85" s="15">
        <f>INDEX(卡牌图鉴!$J$2:$J$53,MATCH(monster!C85,卡牌图鉴!$C$2:$C$53,0))</f>
        <v>6</v>
      </c>
      <c r="K85" s="15">
        <f>INDEX(卡牌图鉴!$S$2:$S$53,MATCH(monster!C85,卡牌图鉴!$C$2:$C$53,0))</f>
        <v>4</v>
      </c>
      <c r="L85" s="15">
        <f>INDEX(卡牌图鉴!$H$2:$H$53,MATCH(monster!C85,卡牌图鉴!$C$2:$C$53,0))</f>
        <v>1.1000000000000001</v>
      </c>
      <c r="M85" s="15">
        <f>INDEX(卡牌图鉴!$L$2:$L$53,MATCH(monster!C85,卡牌图鉴!$C$2:$C$53,0))</f>
        <v>4</v>
      </c>
      <c r="N85" s="15">
        <f>INDEX(卡牌图鉴!$AD$2:$AD$53,MATCH(monster!C85,卡牌图鉴!$C$2:$C$53,0))</f>
        <v>8</v>
      </c>
      <c r="O85" s="78">
        <f>INDEX(卡牌图鉴!$K$2:$K$53,MATCH(monster!C85,卡牌图鉴!$C$2:$C$53,0))</f>
        <v>4</v>
      </c>
    </row>
    <row r="86" spans="1:15" x14ac:dyDescent="0.15">
      <c r="A86" s="31">
        <v>1301</v>
      </c>
      <c r="B86" s="31" t="s">
        <v>373</v>
      </c>
      <c r="C86" s="31">
        <v>1294</v>
      </c>
      <c r="D86" s="15">
        <f>INDEX(卡牌图鉴!$S$2:$S$53,MATCH(monster!C86,卡牌图鉴!$C$2:$C$53,0))</f>
        <v>4</v>
      </c>
      <c r="E86" s="31">
        <v>7</v>
      </c>
      <c r="F86" s="15">
        <f>INT(INDEX(卡牌图鉴!$AB$2:$AB$53,MATCH(monster!C86,卡牌图鉴!$C$2:$C$57,0)) * INDEX(数值规划表!$B$61:$B$71,monster!E86+1) * 血量调整)</f>
        <v>571</v>
      </c>
      <c r="G86" s="15">
        <f>ROUND(INDEX(卡牌图鉴!$AB$2:$AB$53,MATCH(monster!C86,卡牌图鉴!$C$2:$C$57,0)) * INDEX(数值规划表!$D$61:$D$71,monster!E86+1)*血量调整,2)</f>
        <v>17.13</v>
      </c>
      <c r="H86" s="15">
        <f>ROUND(INDEX(卡牌图鉴!$AA$2:$AA$53,MATCH(monster!C86,卡牌图鉴!$C$2:$C$53,0)) * INDEX(数值规划表!$C$61:$C$71,monster!E86+1),2)</f>
        <v>141.97</v>
      </c>
      <c r="I86" s="15">
        <f>ROUND(INDEX(卡牌图鉴!$AA$2:$AA$53,MATCH(monster!C86,卡牌图鉴!$C$2:$C$53,0)) * INDEX(数值规划表!$E$61:$E$71,monster!E86+1),2)</f>
        <v>4.26</v>
      </c>
      <c r="J86" s="15">
        <f>INDEX(卡牌图鉴!$J$2:$J$53,MATCH(monster!C86,卡牌图鉴!$C$2:$C$53,0))</f>
        <v>6</v>
      </c>
      <c r="K86" s="15">
        <f>INDEX(卡牌图鉴!$S$2:$S$53,MATCH(monster!C86,卡牌图鉴!$C$2:$C$53,0))</f>
        <v>4</v>
      </c>
      <c r="L86" s="15">
        <f>INDEX(卡牌图鉴!$H$2:$H$53,MATCH(monster!C86,卡牌图鉴!$C$2:$C$53,0))</f>
        <v>1.1000000000000001</v>
      </c>
      <c r="M86" s="15">
        <f>INDEX(卡牌图鉴!$L$2:$L$53,MATCH(monster!C86,卡牌图鉴!$C$2:$C$53,0))</f>
        <v>4</v>
      </c>
      <c r="N86" s="15">
        <f>INDEX(卡牌图鉴!$AD$2:$AD$53,MATCH(monster!C86,卡牌图鉴!$C$2:$C$53,0))</f>
        <v>8</v>
      </c>
      <c r="O86" s="78">
        <f>INDEX(卡牌图鉴!$K$2:$K$53,MATCH(monster!C86,卡牌图鉴!$C$2:$C$53,0))</f>
        <v>4</v>
      </c>
    </row>
    <row r="87" spans="1:15" x14ac:dyDescent="0.15">
      <c r="A87" s="31">
        <v>1302</v>
      </c>
      <c r="B87" s="31" t="s">
        <v>374</v>
      </c>
      <c r="C87" s="31">
        <v>1294</v>
      </c>
      <c r="D87" s="15">
        <f>INDEX(卡牌图鉴!$S$2:$S$53,MATCH(monster!C87,卡牌图鉴!$C$2:$C$53,0))</f>
        <v>4</v>
      </c>
      <c r="E87" s="31">
        <v>8</v>
      </c>
      <c r="F87" s="15">
        <f>INT(INDEX(卡牌图鉴!$AB$2:$AB$53,MATCH(monster!C87,卡牌图鉴!$C$2:$C$57,0)) * INDEX(数值规划表!$B$61:$B$71,monster!E87+1) * 血量调整)</f>
        <v>639</v>
      </c>
      <c r="G87" s="15">
        <f>ROUND(INDEX(卡牌图鉴!$AB$2:$AB$53,MATCH(monster!C87,卡牌图鉴!$C$2:$C$57,0)) * INDEX(数值规划表!$D$61:$D$71,monster!E87+1)*血量调整,2)</f>
        <v>19.190000000000001</v>
      </c>
      <c r="H87" s="15">
        <f>ROUND(INDEX(卡牌图鉴!$AA$2:$AA$53,MATCH(monster!C87,卡牌图鉴!$C$2:$C$53,0)) * INDEX(数值规划表!$C$61:$C$71,monster!E87+1),2)</f>
        <v>159.01</v>
      </c>
      <c r="I87" s="15">
        <f>ROUND(INDEX(卡牌图鉴!$AA$2:$AA$53,MATCH(monster!C87,卡牌图鉴!$C$2:$C$53,0)) * INDEX(数值规划表!$E$61:$E$71,monster!E87+1),2)</f>
        <v>4.7699999999999996</v>
      </c>
      <c r="J87" s="15">
        <f>INDEX(卡牌图鉴!$J$2:$J$53,MATCH(monster!C87,卡牌图鉴!$C$2:$C$53,0))</f>
        <v>6</v>
      </c>
      <c r="K87" s="15">
        <f>INDEX(卡牌图鉴!$S$2:$S$53,MATCH(monster!C87,卡牌图鉴!$C$2:$C$53,0))</f>
        <v>4</v>
      </c>
      <c r="L87" s="15">
        <f>INDEX(卡牌图鉴!$H$2:$H$53,MATCH(monster!C87,卡牌图鉴!$C$2:$C$53,0))</f>
        <v>1.1000000000000001</v>
      </c>
      <c r="M87" s="15">
        <f>INDEX(卡牌图鉴!$L$2:$L$53,MATCH(monster!C87,卡牌图鉴!$C$2:$C$53,0))</f>
        <v>4</v>
      </c>
      <c r="N87" s="15">
        <f>INDEX(卡牌图鉴!$AD$2:$AD$53,MATCH(monster!C87,卡牌图鉴!$C$2:$C$53,0))</f>
        <v>8</v>
      </c>
      <c r="O87" s="78">
        <f>INDEX(卡牌图鉴!$K$2:$K$53,MATCH(monster!C87,卡牌图鉴!$C$2:$C$53,0))</f>
        <v>4</v>
      </c>
    </row>
    <row r="88" spans="1:15" x14ac:dyDescent="0.15">
      <c r="A88" s="31">
        <v>1303</v>
      </c>
      <c r="B88" s="31" t="s">
        <v>375</v>
      </c>
      <c r="C88" s="31">
        <v>1294</v>
      </c>
      <c r="D88" s="15">
        <f>INDEX(卡牌图鉴!$S$2:$S$53,MATCH(monster!C88,卡牌图鉴!$C$2:$C$53,0))</f>
        <v>4</v>
      </c>
      <c r="E88" s="31">
        <v>9</v>
      </c>
      <c r="F88" s="15">
        <f>INT(INDEX(卡牌图鉴!$AB$2:$AB$53,MATCH(monster!C88,卡牌图鉴!$C$2:$C$57,0)) * INDEX(数值规划表!$B$61:$B$71,monster!E88+1) * 血量调整)</f>
        <v>716</v>
      </c>
      <c r="G88" s="15">
        <f>ROUND(INDEX(卡牌图鉴!$AB$2:$AB$53,MATCH(monster!C88,卡牌图鉴!$C$2:$C$57,0)) * INDEX(数值规划表!$D$61:$D$71,monster!E88+1)*血量调整,2)</f>
        <v>21.49</v>
      </c>
      <c r="H88" s="15">
        <f>ROUND(INDEX(卡牌图鉴!$AA$2:$AA$53,MATCH(monster!C88,卡牌图鉴!$C$2:$C$53,0)) * INDEX(数值规划表!$C$61:$C$71,monster!E88+1),2)</f>
        <v>178.09</v>
      </c>
      <c r="I88" s="15">
        <f>ROUND(INDEX(卡牌图鉴!$AA$2:$AA$53,MATCH(monster!C88,卡牌图鉴!$C$2:$C$53,0)) * INDEX(数值规划表!$E$61:$E$71,monster!E88+1),2)</f>
        <v>5.34</v>
      </c>
      <c r="J88" s="15">
        <f>INDEX(卡牌图鉴!$J$2:$J$53,MATCH(monster!C88,卡牌图鉴!$C$2:$C$53,0))</f>
        <v>6</v>
      </c>
      <c r="K88" s="15">
        <f>INDEX(卡牌图鉴!$S$2:$S$53,MATCH(monster!C88,卡牌图鉴!$C$2:$C$53,0))</f>
        <v>4</v>
      </c>
      <c r="L88" s="15">
        <f>INDEX(卡牌图鉴!$H$2:$H$53,MATCH(monster!C88,卡牌图鉴!$C$2:$C$53,0))</f>
        <v>1.1000000000000001</v>
      </c>
      <c r="M88" s="15">
        <f>INDEX(卡牌图鉴!$L$2:$L$53,MATCH(monster!C88,卡牌图鉴!$C$2:$C$53,0))</f>
        <v>4</v>
      </c>
      <c r="N88" s="15">
        <f>INDEX(卡牌图鉴!$AD$2:$AD$53,MATCH(monster!C88,卡牌图鉴!$C$2:$C$53,0))</f>
        <v>8</v>
      </c>
      <c r="O88" s="78">
        <f>INDEX(卡牌图鉴!$K$2:$K$53,MATCH(monster!C88,卡牌图鉴!$C$2:$C$53,0))</f>
        <v>4</v>
      </c>
    </row>
    <row r="89" spans="1:15" x14ac:dyDescent="0.15">
      <c r="A89" s="31">
        <v>1304</v>
      </c>
      <c r="B89" s="31" t="s">
        <v>376</v>
      </c>
      <c r="C89" s="31">
        <v>1294</v>
      </c>
      <c r="D89" s="15">
        <f>INDEX(卡牌图鉴!$S$2:$S$53,MATCH(monster!C89,卡牌图鉴!$C$2:$C$53,0))</f>
        <v>4</v>
      </c>
      <c r="E89" s="31">
        <v>10</v>
      </c>
      <c r="F89" s="15">
        <f>INT(INDEX(卡牌图鉴!$AB$2:$AB$53,MATCH(monster!C89,卡牌图鉴!$C$2:$C$57,0)) * INDEX(数值规划表!$B$61:$B$71,monster!E89+1) * 血量调整)</f>
        <v>802</v>
      </c>
      <c r="G89" s="15">
        <f>ROUND(INDEX(卡牌图鉴!$AB$2:$AB$53,MATCH(monster!C89,卡牌图鉴!$C$2:$C$57,0)) * INDEX(数值规划表!$D$61:$D$71,monster!E89+1)*血量调整,2)</f>
        <v>24.07</v>
      </c>
      <c r="H89" s="15">
        <f>ROUND(INDEX(卡牌图鉴!$AA$2:$AA$53,MATCH(monster!C89,卡牌图鉴!$C$2:$C$53,0)) * INDEX(数值规划表!$C$61:$C$71,monster!E89+1),2)</f>
        <v>199.46</v>
      </c>
      <c r="I89" s="15">
        <f>ROUND(INDEX(卡牌图鉴!$AA$2:$AA$53,MATCH(monster!C89,卡牌图鉴!$C$2:$C$53,0)) * INDEX(数值规划表!$E$61:$E$71,monster!E89+1),2)</f>
        <v>5.98</v>
      </c>
      <c r="J89" s="15">
        <f>INDEX(卡牌图鉴!$J$2:$J$53,MATCH(monster!C89,卡牌图鉴!$C$2:$C$53,0))</f>
        <v>6</v>
      </c>
      <c r="K89" s="15">
        <f>INDEX(卡牌图鉴!$S$2:$S$53,MATCH(monster!C89,卡牌图鉴!$C$2:$C$53,0))</f>
        <v>4</v>
      </c>
      <c r="L89" s="15">
        <f>INDEX(卡牌图鉴!$H$2:$H$53,MATCH(monster!C89,卡牌图鉴!$C$2:$C$53,0))</f>
        <v>1.1000000000000001</v>
      </c>
      <c r="M89" s="15">
        <f>INDEX(卡牌图鉴!$L$2:$L$53,MATCH(monster!C89,卡牌图鉴!$C$2:$C$53,0))</f>
        <v>4</v>
      </c>
      <c r="N89" s="15">
        <f>INDEX(卡牌图鉴!$AD$2:$AD$53,MATCH(monster!C89,卡牌图鉴!$C$2:$C$53,0))</f>
        <v>8</v>
      </c>
      <c r="O89" s="78">
        <f>INDEX(卡牌图鉴!$K$2:$K$53,MATCH(monster!C89,卡牌图鉴!$C$2:$C$53,0))</f>
        <v>4</v>
      </c>
    </row>
    <row r="90" spans="1:15" x14ac:dyDescent="0.15">
      <c r="A90" s="31">
        <v>1439</v>
      </c>
      <c r="B90" s="31" t="s">
        <v>1426</v>
      </c>
      <c r="C90" s="31">
        <v>1439</v>
      </c>
      <c r="D90" s="15">
        <f>INDEX(卡牌图鉴!$S$2:$S$53,MATCH(monster!C90,卡牌图鉴!$C$2:$C$53,0))</f>
        <v>4</v>
      </c>
      <c r="E90" s="31">
        <v>0</v>
      </c>
      <c r="F90" s="15">
        <f>INT(INDEX(卡牌图鉴!$AB$2:$AB$53,MATCH(monster!C90,卡牌图鉴!$C$2:$C$57,0)) * INDEX(数值规划表!$B$61:$B$71,monster!E90+1) * 血量调整)</f>
        <v>133</v>
      </c>
      <c r="G90" s="15">
        <f>ROUND(INDEX(卡牌图鉴!$AB$2:$AB$53,MATCH(monster!C90,卡牌图鉴!$C$2:$C$57,0)) * INDEX(数值规划表!$D$61:$D$71,monster!E90+1)*血量调整,2)</f>
        <v>4</v>
      </c>
      <c r="H90" s="15">
        <f>ROUND(INDEX(卡牌图鉴!$AA$2:$AA$53,MATCH(monster!C90,卡牌图鉴!$C$2:$C$53,0)) * INDEX(数值规划表!$C$61:$C$71,monster!E90+1),2)</f>
        <v>52.16</v>
      </c>
      <c r="I90" s="15">
        <f>ROUND(INDEX(卡牌图鉴!$AA$2:$AA$53,MATCH(monster!C90,卡牌图鉴!$C$2:$C$53,0)) * INDEX(数值规划表!$E$61:$E$71,monster!E90+1),2)</f>
        <v>1.56</v>
      </c>
      <c r="J90" s="15">
        <f>INDEX(卡牌图鉴!$J$2:$J$53,MATCH(monster!C90,卡牌图鉴!$C$2:$C$53,0))</f>
        <v>5</v>
      </c>
      <c r="K90" s="15">
        <f>INDEX(卡牌图鉴!$S$2:$S$53,MATCH(monster!C90,卡牌图鉴!$C$2:$C$53,0))</f>
        <v>4</v>
      </c>
      <c r="L90" s="15">
        <f>INDEX(卡牌图鉴!$H$2:$H$53,MATCH(monster!C90,卡牌图鉴!$C$2:$C$53,0))</f>
        <v>1.4</v>
      </c>
      <c r="M90" s="15">
        <f>INDEX(卡牌图鉴!$L$2:$L$53,MATCH(monster!C90,卡牌图鉴!$C$2:$C$53,0))</f>
        <v>5</v>
      </c>
      <c r="N90" s="15">
        <f>INDEX(卡牌图鉴!$AD$2:$AD$53,MATCH(monster!C90,卡牌图鉴!$C$2:$C$53,0))</f>
        <v>8</v>
      </c>
      <c r="O90" s="78">
        <f>INDEX(卡牌图鉴!$K$2:$K$53,MATCH(monster!C90,卡牌图鉴!$C$2:$C$53,0))</f>
        <v>5</v>
      </c>
    </row>
    <row r="91" spans="1:15" x14ac:dyDescent="0.15">
      <c r="A91" s="31">
        <v>1440</v>
      </c>
      <c r="B91" s="31" t="s">
        <v>1427</v>
      </c>
      <c r="C91" s="31">
        <v>1439</v>
      </c>
      <c r="D91" s="15">
        <f>INDEX(卡牌图鉴!$S$2:$S$53,MATCH(monster!C91,卡牌图鉴!$C$2:$C$53,0))</f>
        <v>4</v>
      </c>
      <c r="E91" s="31">
        <v>1</v>
      </c>
      <c r="F91" s="15">
        <f>INT(INDEX(卡牌图鉴!$AB$2:$AB$53,MATCH(monster!C91,卡牌图鉴!$C$2:$C$57,0)) * INDEX(数值规划表!$B$61:$B$71,monster!E91+1) * 血量调整)</f>
        <v>149</v>
      </c>
      <c r="G91" s="15">
        <f>ROUND(INDEX(卡牌图鉴!$AB$2:$AB$53,MATCH(monster!C91,卡牌图鉴!$C$2:$C$57,0)) * INDEX(数值规划表!$D$61:$D$71,monster!E91+1)*血量调整,2)</f>
        <v>4.4800000000000004</v>
      </c>
      <c r="H91" s="15">
        <f>ROUND(INDEX(卡牌图鉴!$AA$2:$AA$53,MATCH(monster!C91,卡牌图鉴!$C$2:$C$53,0)) * INDEX(数值规划表!$C$61:$C$71,monster!E91+1),2)</f>
        <v>58.42</v>
      </c>
      <c r="I91" s="15">
        <f>ROUND(INDEX(卡牌图鉴!$AA$2:$AA$53,MATCH(monster!C91,卡牌图鉴!$C$2:$C$53,0)) * INDEX(数值规划表!$E$61:$E$71,monster!E91+1),2)</f>
        <v>1.75</v>
      </c>
      <c r="J91" s="15">
        <f>INDEX(卡牌图鉴!$J$2:$J$53,MATCH(monster!C91,卡牌图鉴!$C$2:$C$53,0))</f>
        <v>5</v>
      </c>
      <c r="K91" s="15">
        <f>INDEX(卡牌图鉴!$S$2:$S$53,MATCH(monster!C91,卡牌图鉴!$C$2:$C$53,0))</f>
        <v>4</v>
      </c>
      <c r="L91" s="15">
        <f>INDEX(卡牌图鉴!$H$2:$H$53,MATCH(monster!C91,卡牌图鉴!$C$2:$C$53,0))</f>
        <v>1.4</v>
      </c>
      <c r="M91" s="15">
        <f>INDEX(卡牌图鉴!$L$2:$L$53,MATCH(monster!C91,卡牌图鉴!$C$2:$C$53,0))</f>
        <v>5</v>
      </c>
      <c r="N91" s="15">
        <f>INDEX(卡牌图鉴!$AD$2:$AD$53,MATCH(monster!C91,卡牌图鉴!$C$2:$C$53,0))</f>
        <v>8</v>
      </c>
      <c r="O91" s="78">
        <f>INDEX(卡牌图鉴!$K$2:$K$53,MATCH(monster!C91,卡牌图鉴!$C$2:$C$53,0))</f>
        <v>5</v>
      </c>
    </row>
    <row r="92" spans="1:15" x14ac:dyDescent="0.15">
      <c r="A92" s="31">
        <v>1441</v>
      </c>
      <c r="B92" s="31" t="s">
        <v>494</v>
      </c>
      <c r="C92" s="31">
        <v>1439</v>
      </c>
      <c r="D92" s="15">
        <f>INDEX(卡牌图鉴!$S$2:$S$53,MATCH(monster!C92,卡牌图鉴!$C$2:$C$53,0))</f>
        <v>4</v>
      </c>
      <c r="E92" s="31">
        <v>2</v>
      </c>
      <c r="F92" s="15">
        <f>INT(INDEX(卡牌图鉴!$AB$2:$AB$53,MATCH(monster!C92,卡牌图鉴!$C$2:$C$57,0)) * INDEX(数值规划表!$B$61:$B$71,monster!E92+1) * 血量调整)</f>
        <v>167</v>
      </c>
      <c r="G92" s="15">
        <f>ROUND(INDEX(卡牌图鉴!$AB$2:$AB$53,MATCH(monster!C92,卡牌图鉴!$C$2:$C$57,0)) * INDEX(数值规划表!$D$61:$D$71,monster!E92+1)*血量调整,2)</f>
        <v>5.0199999999999996</v>
      </c>
      <c r="H92" s="15">
        <f>ROUND(INDEX(卡牌图鉴!$AA$2:$AA$53,MATCH(monster!C92,卡牌图鉴!$C$2:$C$53,0)) * INDEX(数值规划表!$C$61:$C$71,monster!E92+1),2)</f>
        <v>65.430000000000007</v>
      </c>
      <c r="I92" s="15">
        <f>ROUND(INDEX(卡牌图鉴!$AA$2:$AA$53,MATCH(monster!C92,卡牌图鉴!$C$2:$C$53,0)) * INDEX(数值规划表!$E$61:$E$71,monster!E92+1),2)</f>
        <v>1.96</v>
      </c>
      <c r="J92" s="15">
        <f>INDEX(卡牌图鉴!$J$2:$J$53,MATCH(monster!C92,卡牌图鉴!$C$2:$C$53,0))</f>
        <v>5</v>
      </c>
      <c r="K92" s="15">
        <f>INDEX(卡牌图鉴!$S$2:$S$53,MATCH(monster!C92,卡牌图鉴!$C$2:$C$53,0))</f>
        <v>4</v>
      </c>
      <c r="L92" s="15">
        <f>INDEX(卡牌图鉴!$H$2:$H$53,MATCH(monster!C92,卡牌图鉴!$C$2:$C$53,0))</f>
        <v>1.4</v>
      </c>
      <c r="M92" s="15">
        <f>INDEX(卡牌图鉴!$L$2:$L$53,MATCH(monster!C92,卡牌图鉴!$C$2:$C$53,0))</f>
        <v>5</v>
      </c>
      <c r="N92" s="15">
        <f>INDEX(卡牌图鉴!$AD$2:$AD$53,MATCH(monster!C92,卡牌图鉴!$C$2:$C$53,0))</f>
        <v>8</v>
      </c>
      <c r="O92" s="78">
        <f>INDEX(卡牌图鉴!$K$2:$K$53,MATCH(monster!C92,卡牌图鉴!$C$2:$C$53,0))</f>
        <v>5</v>
      </c>
    </row>
    <row r="93" spans="1:15" x14ac:dyDescent="0.15">
      <c r="A93" s="31">
        <v>1442</v>
      </c>
      <c r="B93" s="31" t="s">
        <v>495</v>
      </c>
      <c r="C93" s="31">
        <v>1439</v>
      </c>
      <c r="D93" s="15">
        <f>INDEX(卡牌图鉴!$S$2:$S$53,MATCH(monster!C93,卡牌图鉴!$C$2:$C$53,0))</f>
        <v>4</v>
      </c>
      <c r="E93" s="31">
        <v>3</v>
      </c>
      <c r="F93" s="15">
        <f>INT(INDEX(卡牌图鉴!$AB$2:$AB$53,MATCH(monster!C93,卡牌图鉴!$C$2:$C$57,0)) * INDEX(数值规划表!$B$61:$B$71,monster!E93+1) * 血量调整)</f>
        <v>187</v>
      </c>
      <c r="G93" s="15">
        <f>ROUND(INDEX(卡牌图鉴!$AB$2:$AB$53,MATCH(monster!C93,卡牌图鉴!$C$2:$C$57,0)) * INDEX(数值规划表!$D$61:$D$71,monster!E93+1)*血量调整,2)</f>
        <v>5.62</v>
      </c>
      <c r="H93" s="15">
        <f>ROUND(INDEX(卡牌图鉴!$AA$2:$AA$53,MATCH(monster!C93,卡牌图鉴!$C$2:$C$53,0)) * INDEX(数值规划表!$C$61:$C$71,monster!E93+1),2)</f>
        <v>73.28</v>
      </c>
      <c r="I93" s="15">
        <f>ROUND(INDEX(卡牌图鉴!$AA$2:$AA$53,MATCH(monster!C93,卡牌图鉴!$C$2:$C$53,0)) * INDEX(数值规划表!$E$61:$E$71,monster!E93+1),2)</f>
        <v>2.2000000000000002</v>
      </c>
      <c r="J93" s="15">
        <f>INDEX(卡牌图鉴!$J$2:$J$53,MATCH(monster!C93,卡牌图鉴!$C$2:$C$53,0))</f>
        <v>5</v>
      </c>
      <c r="K93" s="15">
        <f>INDEX(卡牌图鉴!$S$2:$S$53,MATCH(monster!C93,卡牌图鉴!$C$2:$C$53,0))</f>
        <v>4</v>
      </c>
      <c r="L93" s="15">
        <f>INDEX(卡牌图鉴!$H$2:$H$53,MATCH(monster!C93,卡牌图鉴!$C$2:$C$53,0))</f>
        <v>1.4</v>
      </c>
      <c r="M93" s="15">
        <f>INDEX(卡牌图鉴!$L$2:$L$53,MATCH(monster!C93,卡牌图鉴!$C$2:$C$53,0))</f>
        <v>5</v>
      </c>
      <c r="N93" s="15">
        <f>INDEX(卡牌图鉴!$AD$2:$AD$53,MATCH(monster!C93,卡牌图鉴!$C$2:$C$53,0))</f>
        <v>8</v>
      </c>
      <c r="O93" s="78">
        <f>INDEX(卡牌图鉴!$K$2:$K$53,MATCH(monster!C93,卡牌图鉴!$C$2:$C$53,0))</f>
        <v>5</v>
      </c>
    </row>
    <row r="94" spans="1:15" x14ac:dyDescent="0.15">
      <c r="A94" s="31">
        <v>1443</v>
      </c>
      <c r="B94" s="31" t="s">
        <v>496</v>
      </c>
      <c r="C94" s="31">
        <v>1439</v>
      </c>
      <c r="D94" s="15">
        <f>INDEX(卡牌图鉴!$S$2:$S$53,MATCH(monster!C94,卡牌图鉴!$C$2:$C$53,0))</f>
        <v>4</v>
      </c>
      <c r="E94" s="31">
        <v>4</v>
      </c>
      <c r="F94" s="15">
        <f>INT(INDEX(卡牌图鉴!$AB$2:$AB$53,MATCH(monster!C94,卡牌图鉴!$C$2:$C$57,0)) * INDEX(数值规划表!$B$61:$B$71,monster!E94+1) * 血量调整)</f>
        <v>209</v>
      </c>
      <c r="G94" s="15">
        <f>ROUND(INDEX(卡牌图鉴!$AB$2:$AB$53,MATCH(monster!C94,卡牌图鉴!$C$2:$C$57,0)) * INDEX(数值规划表!$D$61:$D$71,monster!E94+1)*血量调整,2)</f>
        <v>6.3</v>
      </c>
      <c r="H94" s="15">
        <f>ROUND(INDEX(卡牌图鉴!$AA$2:$AA$53,MATCH(monster!C94,卡牌图鉴!$C$2:$C$53,0)) * INDEX(数值规划表!$C$61:$C$71,monster!E94+1),2)</f>
        <v>82.07</v>
      </c>
      <c r="I94" s="15">
        <f>ROUND(INDEX(卡牌图鉴!$AA$2:$AA$53,MATCH(monster!C94,卡牌图鉴!$C$2:$C$53,0)) * INDEX(数值规划表!$E$61:$E$71,monster!E94+1),2)</f>
        <v>2.46</v>
      </c>
      <c r="J94" s="15">
        <f>INDEX(卡牌图鉴!$J$2:$J$53,MATCH(monster!C94,卡牌图鉴!$C$2:$C$53,0))</f>
        <v>5</v>
      </c>
      <c r="K94" s="15">
        <f>INDEX(卡牌图鉴!$S$2:$S$53,MATCH(monster!C94,卡牌图鉴!$C$2:$C$53,0))</f>
        <v>4</v>
      </c>
      <c r="L94" s="15">
        <f>INDEX(卡牌图鉴!$H$2:$H$53,MATCH(monster!C94,卡牌图鉴!$C$2:$C$53,0))</f>
        <v>1.4</v>
      </c>
      <c r="M94" s="15">
        <f>INDEX(卡牌图鉴!$L$2:$L$53,MATCH(monster!C94,卡牌图鉴!$C$2:$C$53,0))</f>
        <v>5</v>
      </c>
      <c r="N94" s="15">
        <f>INDEX(卡牌图鉴!$AD$2:$AD$53,MATCH(monster!C94,卡牌图鉴!$C$2:$C$53,0))</f>
        <v>8</v>
      </c>
      <c r="O94" s="78">
        <f>INDEX(卡牌图鉴!$K$2:$K$53,MATCH(monster!C94,卡牌图鉴!$C$2:$C$53,0))</f>
        <v>5</v>
      </c>
    </row>
    <row r="95" spans="1:15" x14ac:dyDescent="0.15">
      <c r="A95" s="31">
        <v>1444</v>
      </c>
      <c r="B95" s="31" t="s">
        <v>497</v>
      </c>
      <c r="C95" s="31">
        <v>1439</v>
      </c>
      <c r="D95" s="15">
        <f>INDEX(卡牌图鉴!$S$2:$S$53,MATCH(monster!C95,卡牌图鉴!$C$2:$C$53,0))</f>
        <v>4</v>
      </c>
      <c r="E95" s="31">
        <v>5</v>
      </c>
      <c r="F95" s="15">
        <f>INT(INDEX(卡牌图鉴!$AB$2:$AB$53,MATCH(monster!C95,卡牌图鉴!$C$2:$C$57,0)) * INDEX(数值规划表!$B$61:$B$71,monster!E95+1) * 血量调整)</f>
        <v>235</v>
      </c>
      <c r="G95" s="15">
        <f>ROUND(INDEX(卡牌图鉴!$AB$2:$AB$53,MATCH(monster!C95,卡牌图鉴!$C$2:$C$57,0)) * INDEX(数值规划表!$D$61:$D$71,monster!E95+1)*血量调整,2)</f>
        <v>7.05</v>
      </c>
      <c r="H95" s="15">
        <f>ROUND(INDEX(卡牌图鉴!$AA$2:$AA$53,MATCH(monster!C95,卡牌图鉴!$C$2:$C$53,0)) * INDEX(数值规划表!$C$61:$C$71,monster!E95+1),2)</f>
        <v>91.92</v>
      </c>
      <c r="I95" s="15">
        <f>ROUND(INDEX(卡牌图鉴!$AA$2:$AA$53,MATCH(monster!C95,卡牌图鉴!$C$2:$C$53,0)) * INDEX(数值规划表!$E$61:$E$71,monster!E95+1),2)</f>
        <v>2.76</v>
      </c>
      <c r="J95" s="15">
        <f>INDEX(卡牌图鉴!$J$2:$J$53,MATCH(monster!C95,卡牌图鉴!$C$2:$C$53,0))</f>
        <v>5</v>
      </c>
      <c r="K95" s="15">
        <f>INDEX(卡牌图鉴!$S$2:$S$53,MATCH(monster!C95,卡牌图鉴!$C$2:$C$53,0))</f>
        <v>4</v>
      </c>
      <c r="L95" s="15">
        <f>INDEX(卡牌图鉴!$H$2:$H$53,MATCH(monster!C95,卡牌图鉴!$C$2:$C$53,0))</f>
        <v>1.4</v>
      </c>
      <c r="M95" s="15">
        <f>INDEX(卡牌图鉴!$L$2:$L$53,MATCH(monster!C95,卡牌图鉴!$C$2:$C$53,0))</f>
        <v>5</v>
      </c>
      <c r="N95" s="15">
        <f>INDEX(卡牌图鉴!$AD$2:$AD$53,MATCH(monster!C95,卡牌图鉴!$C$2:$C$53,0))</f>
        <v>8</v>
      </c>
      <c r="O95" s="78">
        <f>INDEX(卡牌图鉴!$K$2:$K$53,MATCH(monster!C95,卡牌图鉴!$C$2:$C$53,0))</f>
        <v>5</v>
      </c>
    </row>
    <row r="96" spans="1:15" x14ac:dyDescent="0.15">
      <c r="A96" s="31">
        <v>1445</v>
      </c>
      <c r="B96" s="31" t="s">
        <v>498</v>
      </c>
      <c r="C96" s="31">
        <v>1439</v>
      </c>
      <c r="D96" s="15">
        <f>INDEX(卡牌图鉴!$S$2:$S$53,MATCH(monster!C96,卡牌图鉴!$C$2:$C$53,0))</f>
        <v>4</v>
      </c>
      <c r="E96" s="31">
        <v>6</v>
      </c>
      <c r="F96" s="15">
        <f>INT(INDEX(卡牌图鉴!$AB$2:$AB$53,MATCH(monster!C96,卡牌图鉴!$C$2:$C$57,0)) * INDEX(数值规划表!$B$61:$B$71,monster!E96+1) * 血量调整)</f>
        <v>263</v>
      </c>
      <c r="G96" s="15">
        <f>ROUND(INDEX(卡牌图鉴!$AB$2:$AB$53,MATCH(monster!C96,卡牌图鉴!$C$2:$C$57,0)) * INDEX(数值规划表!$D$61:$D$71,monster!E96+1)*血量调整,2)</f>
        <v>7.9</v>
      </c>
      <c r="H96" s="15">
        <f>ROUND(INDEX(卡牌图鉴!$AA$2:$AA$53,MATCH(monster!C96,卡牌图鉴!$C$2:$C$53,0)) * INDEX(数值规划表!$C$61:$C$71,monster!E96+1),2)</f>
        <v>102.95</v>
      </c>
      <c r="I96" s="15">
        <f>ROUND(INDEX(卡牌图鉴!$AA$2:$AA$53,MATCH(monster!C96,卡牌图鉴!$C$2:$C$53,0)) * INDEX(数值规划表!$E$61:$E$71,monster!E96+1),2)</f>
        <v>3.09</v>
      </c>
      <c r="J96" s="15">
        <f>INDEX(卡牌图鉴!$J$2:$J$53,MATCH(monster!C96,卡牌图鉴!$C$2:$C$53,0))</f>
        <v>5</v>
      </c>
      <c r="K96" s="15">
        <f>INDEX(卡牌图鉴!$S$2:$S$53,MATCH(monster!C96,卡牌图鉴!$C$2:$C$53,0))</f>
        <v>4</v>
      </c>
      <c r="L96" s="15">
        <f>INDEX(卡牌图鉴!$H$2:$H$53,MATCH(monster!C96,卡牌图鉴!$C$2:$C$53,0))</f>
        <v>1.4</v>
      </c>
      <c r="M96" s="15">
        <f>INDEX(卡牌图鉴!$L$2:$L$53,MATCH(monster!C96,卡牌图鉴!$C$2:$C$53,0))</f>
        <v>5</v>
      </c>
      <c r="N96" s="15">
        <f>INDEX(卡牌图鉴!$AD$2:$AD$53,MATCH(monster!C96,卡牌图鉴!$C$2:$C$53,0))</f>
        <v>8</v>
      </c>
      <c r="O96" s="78">
        <f>INDEX(卡牌图鉴!$K$2:$K$53,MATCH(monster!C96,卡牌图鉴!$C$2:$C$53,0))</f>
        <v>5</v>
      </c>
    </row>
    <row r="97" spans="1:15" x14ac:dyDescent="0.15">
      <c r="A97" s="31">
        <v>1446</v>
      </c>
      <c r="B97" s="31" t="s">
        <v>499</v>
      </c>
      <c r="C97" s="31">
        <v>1439</v>
      </c>
      <c r="D97" s="15">
        <f>INDEX(卡牌图鉴!$S$2:$S$53,MATCH(monster!C97,卡牌图鉴!$C$2:$C$53,0))</f>
        <v>4</v>
      </c>
      <c r="E97" s="31">
        <v>7</v>
      </c>
      <c r="F97" s="15">
        <f>INT(INDEX(卡牌图鉴!$AB$2:$AB$53,MATCH(monster!C97,卡牌图鉴!$C$2:$C$57,0)) * INDEX(数值规划表!$B$61:$B$71,monster!E97+1) * 血量调整)</f>
        <v>294</v>
      </c>
      <c r="G97" s="15">
        <f>ROUND(INDEX(卡牌图鉴!$AB$2:$AB$53,MATCH(monster!C97,卡牌图鉴!$C$2:$C$57,0)) * INDEX(数值规划表!$D$61:$D$71,monster!E97+1)*血量调整,2)</f>
        <v>8.84</v>
      </c>
      <c r="H97" s="15">
        <f>ROUND(INDEX(卡牌图鉴!$AA$2:$AA$53,MATCH(monster!C97,卡牌图鉴!$C$2:$C$53,0)) * INDEX(数值规划表!$C$61:$C$71,monster!E97+1),2)</f>
        <v>115.31</v>
      </c>
      <c r="I97" s="15">
        <f>ROUND(INDEX(卡牌图鉴!$AA$2:$AA$53,MATCH(monster!C97,卡牌图鉴!$C$2:$C$53,0)) * INDEX(数值规划表!$E$61:$E$71,monster!E97+1),2)</f>
        <v>3.46</v>
      </c>
      <c r="J97" s="15">
        <f>INDEX(卡牌图鉴!$J$2:$J$53,MATCH(monster!C97,卡牌图鉴!$C$2:$C$53,0))</f>
        <v>5</v>
      </c>
      <c r="K97" s="15">
        <f>INDEX(卡牌图鉴!$S$2:$S$53,MATCH(monster!C97,卡牌图鉴!$C$2:$C$53,0))</f>
        <v>4</v>
      </c>
      <c r="L97" s="15">
        <f>INDEX(卡牌图鉴!$H$2:$H$53,MATCH(monster!C97,卡牌图鉴!$C$2:$C$53,0))</f>
        <v>1.4</v>
      </c>
      <c r="M97" s="15">
        <f>INDEX(卡牌图鉴!$L$2:$L$53,MATCH(monster!C97,卡牌图鉴!$C$2:$C$53,0))</f>
        <v>5</v>
      </c>
      <c r="N97" s="15">
        <f>INDEX(卡牌图鉴!$AD$2:$AD$53,MATCH(monster!C97,卡牌图鉴!$C$2:$C$53,0))</f>
        <v>8</v>
      </c>
      <c r="O97" s="78">
        <f>INDEX(卡牌图鉴!$K$2:$K$53,MATCH(monster!C97,卡牌图鉴!$C$2:$C$53,0))</f>
        <v>5</v>
      </c>
    </row>
    <row r="98" spans="1:15" x14ac:dyDescent="0.15">
      <c r="A98" s="31">
        <v>1447</v>
      </c>
      <c r="B98" s="31" t="s">
        <v>500</v>
      </c>
      <c r="C98" s="31">
        <v>1439</v>
      </c>
      <c r="D98" s="15">
        <f>INDEX(卡牌图鉴!$S$2:$S$53,MATCH(monster!C98,卡牌图鉴!$C$2:$C$53,0))</f>
        <v>4</v>
      </c>
      <c r="E98" s="31">
        <v>8</v>
      </c>
      <c r="F98" s="15">
        <f>INT(INDEX(卡牌图鉴!$AB$2:$AB$53,MATCH(monster!C98,卡牌图鉴!$C$2:$C$57,0)) * INDEX(数值规划表!$B$61:$B$71,monster!E98+1) * 血量调整)</f>
        <v>330</v>
      </c>
      <c r="G98" s="15">
        <f>ROUND(INDEX(卡牌图鉴!$AB$2:$AB$53,MATCH(monster!C98,卡牌图鉴!$C$2:$C$57,0)) * INDEX(数值规划表!$D$61:$D$71,monster!E98+1)*血量调整,2)</f>
        <v>9.91</v>
      </c>
      <c r="H98" s="15">
        <f>ROUND(INDEX(卡牌图鉴!$AA$2:$AA$53,MATCH(monster!C98,卡牌图鉴!$C$2:$C$53,0)) * INDEX(数值规划表!$C$61:$C$71,monster!E98+1),2)</f>
        <v>129.15</v>
      </c>
      <c r="I98" s="15">
        <f>ROUND(INDEX(卡牌图鉴!$AA$2:$AA$53,MATCH(monster!C98,卡牌图鉴!$C$2:$C$53,0)) * INDEX(数值规划表!$E$61:$E$71,monster!E98+1),2)</f>
        <v>3.87</v>
      </c>
      <c r="J98" s="15">
        <f>INDEX(卡牌图鉴!$J$2:$J$53,MATCH(monster!C98,卡牌图鉴!$C$2:$C$53,0))</f>
        <v>5</v>
      </c>
      <c r="K98" s="15">
        <f>INDEX(卡牌图鉴!$S$2:$S$53,MATCH(monster!C98,卡牌图鉴!$C$2:$C$53,0))</f>
        <v>4</v>
      </c>
      <c r="L98" s="15">
        <f>INDEX(卡牌图鉴!$H$2:$H$53,MATCH(monster!C98,卡牌图鉴!$C$2:$C$53,0))</f>
        <v>1.4</v>
      </c>
      <c r="M98" s="15">
        <f>INDEX(卡牌图鉴!$L$2:$L$53,MATCH(monster!C98,卡牌图鉴!$C$2:$C$53,0))</f>
        <v>5</v>
      </c>
      <c r="N98" s="15">
        <f>INDEX(卡牌图鉴!$AD$2:$AD$53,MATCH(monster!C98,卡牌图鉴!$C$2:$C$53,0))</f>
        <v>8</v>
      </c>
      <c r="O98" s="78">
        <f>INDEX(卡牌图鉴!$K$2:$K$53,MATCH(monster!C98,卡牌图鉴!$C$2:$C$53,0))</f>
        <v>5</v>
      </c>
    </row>
    <row r="99" spans="1:15" x14ac:dyDescent="0.15">
      <c r="A99" s="31">
        <v>1448</v>
      </c>
      <c r="B99" s="31" t="s">
        <v>501</v>
      </c>
      <c r="C99" s="31">
        <v>1439</v>
      </c>
      <c r="D99" s="15">
        <f>INDEX(卡牌图鉴!$S$2:$S$53,MATCH(monster!C99,卡牌图鉴!$C$2:$C$53,0))</f>
        <v>4</v>
      </c>
      <c r="E99" s="31">
        <v>9</v>
      </c>
      <c r="F99" s="15">
        <f>INT(INDEX(卡牌图鉴!$AB$2:$AB$53,MATCH(monster!C99,卡牌图鉴!$C$2:$C$57,0)) * INDEX(数值规划表!$B$61:$B$71,monster!E99+1) * 血量调整)</f>
        <v>369</v>
      </c>
      <c r="G99" s="15">
        <f>ROUND(INDEX(卡牌图鉴!$AB$2:$AB$53,MATCH(monster!C99,卡牌图鉴!$C$2:$C$57,0)) * INDEX(数值规划表!$D$61:$D$71,monster!E99+1)*血量调整,2)</f>
        <v>11.09</v>
      </c>
      <c r="H99" s="15">
        <f>ROUND(INDEX(卡牌图鉴!$AA$2:$AA$53,MATCH(monster!C99,卡牌图鉴!$C$2:$C$53,0)) * INDEX(数值规划表!$C$61:$C$71,monster!E99+1),2)</f>
        <v>144.63999999999999</v>
      </c>
      <c r="I99" s="15">
        <f>ROUND(INDEX(卡牌图鉴!$AA$2:$AA$53,MATCH(monster!C99,卡牌图鉴!$C$2:$C$53,0)) * INDEX(数值规划表!$E$61:$E$71,monster!E99+1),2)</f>
        <v>4.34</v>
      </c>
      <c r="J99" s="15">
        <f>INDEX(卡牌图鉴!$J$2:$J$53,MATCH(monster!C99,卡牌图鉴!$C$2:$C$53,0))</f>
        <v>5</v>
      </c>
      <c r="K99" s="15">
        <f>INDEX(卡牌图鉴!$S$2:$S$53,MATCH(monster!C99,卡牌图鉴!$C$2:$C$53,0))</f>
        <v>4</v>
      </c>
      <c r="L99" s="15">
        <f>INDEX(卡牌图鉴!$H$2:$H$53,MATCH(monster!C99,卡牌图鉴!$C$2:$C$53,0))</f>
        <v>1.4</v>
      </c>
      <c r="M99" s="15">
        <f>INDEX(卡牌图鉴!$L$2:$L$53,MATCH(monster!C99,卡牌图鉴!$C$2:$C$53,0))</f>
        <v>5</v>
      </c>
      <c r="N99" s="15">
        <f>INDEX(卡牌图鉴!$AD$2:$AD$53,MATCH(monster!C99,卡牌图鉴!$C$2:$C$53,0))</f>
        <v>8</v>
      </c>
      <c r="O99" s="78">
        <f>INDEX(卡牌图鉴!$K$2:$K$53,MATCH(monster!C99,卡牌图鉴!$C$2:$C$53,0))</f>
        <v>5</v>
      </c>
    </row>
    <row r="100" spans="1:15" x14ac:dyDescent="0.15">
      <c r="A100" s="31">
        <v>1449</v>
      </c>
      <c r="B100" s="31" t="s">
        <v>502</v>
      </c>
      <c r="C100" s="31">
        <v>1439</v>
      </c>
      <c r="D100" s="15">
        <f>INDEX(卡牌图鉴!$S$2:$S$53,MATCH(monster!C100,卡牌图鉴!$C$2:$C$53,0))</f>
        <v>4</v>
      </c>
      <c r="E100" s="31">
        <v>10</v>
      </c>
      <c r="F100" s="15">
        <f>INT(INDEX(卡牌图鉴!$AB$2:$AB$53,MATCH(monster!C100,卡牌图鉴!$C$2:$C$57,0)) * INDEX(数值规划表!$B$61:$B$71,monster!E100+1) * 血量调整)</f>
        <v>414</v>
      </c>
      <c r="G100" s="15">
        <f>ROUND(INDEX(卡牌图鉴!$AB$2:$AB$53,MATCH(monster!C100,卡牌图鉴!$C$2:$C$57,0)) * INDEX(数值规划表!$D$61:$D$71,monster!E100+1)*血量调整,2)</f>
        <v>12.43</v>
      </c>
      <c r="H100" s="15">
        <f>ROUND(INDEX(卡牌图鉴!$AA$2:$AA$53,MATCH(monster!C100,卡牌图鉴!$C$2:$C$53,0)) * INDEX(数值规划表!$C$61:$C$71,monster!E100+1),2)</f>
        <v>162</v>
      </c>
      <c r="I100" s="15">
        <f>ROUND(INDEX(卡牌图鉴!$AA$2:$AA$53,MATCH(monster!C100,卡牌图鉴!$C$2:$C$53,0)) * INDEX(数值规划表!$E$61:$E$71,monster!E100+1),2)</f>
        <v>4.8600000000000003</v>
      </c>
      <c r="J100" s="15">
        <f>INDEX(卡牌图鉴!$J$2:$J$53,MATCH(monster!C100,卡牌图鉴!$C$2:$C$53,0))</f>
        <v>5</v>
      </c>
      <c r="K100" s="15">
        <f>INDEX(卡牌图鉴!$S$2:$S$53,MATCH(monster!C100,卡牌图鉴!$C$2:$C$53,0))</f>
        <v>4</v>
      </c>
      <c r="L100" s="15">
        <f>INDEX(卡牌图鉴!$H$2:$H$53,MATCH(monster!C100,卡牌图鉴!$C$2:$C$53,0))</f>
        <v>1.4</v>
      </c>
      <c r="M100" s="15">
        <f>INDEX(卡牌图鉴!$L$2:$L$53,MATCH(monster!C100,卡牌图鉴!$C$2:$C$53,0))</f>
        <v>5</v>
      </c>
      <c r="N100" s="15">
        <f>INDEX(卡牌图鉴!$AD$2:$AD$53,MATCH(monster!C100,卡牌图鉴!$C$2:$C$53,0))</f>
        <v>8</v>
      </c>
      <c r="O100" s="78">
        <f>INDEX(卡牌图鉴!$K$2:$K$53,MATCH(monster!C100,卡牌图鉴!$C$2:$C$53,0))</f>
        <v>5</v>
      </c>
    </row>
    <row r="101" spans="1:15" x14ac:dyDescent="0.15">
      <c r="A101" s="31">
        <v>1472</v>
      </c>
      <c r="B101" s="31" t="s">
        <v>513</v>
      </c>
      <c r="C101" s="31">
        <v>1472</v>
      </c>
      <c r="D101" s="15">
        <f>INDEX(卡牌图鉴!$S$2:$S$53,MATCH(monster!C101,卡牌图鉴!$C$2:$C$53,0))</f>
        <v>5</v>
      </c>
      <c r="E101" s="31">
        <v>0</v>
      </c>
      <c r="F101" s="15">
        <f>INT(INDEX(卡牌图鉴!$AB$2:$AB$53,MATCH(monster!C101,卡牌图鉴!$C$2:$C$57,0)) * INDEX(数值规划表!$B$61:$B$71,monster!E101+1) * 血量调整)</f>
        <v>2204</v>
      </c>
      <c r="G101" s="15">
        <f>ROUND(INDEX(卡牌图鉴!$AB$2:$AB$53,MATCH(monster!C101,卡牌图鉴!$C$2:$C$57,0)) * INDEX(数值规划表!$D$61:$D$71,monster!E101+1)*血量调整,2)</f>
        <v>66.13</v>
      </c>
      <c r="H101" s="15">
        <f>ROUND(INDEX(卡牌图鉴!$AA$2:$AA$53,MATCH(monster!C101,卡牌图鉴!$C$2:$C$53,0)) * INDEX(数值规划表!$C$61:$C$71,monster!E101+1),2)</f>
        <v>139.96</v>
      </c>
      <c r="I101" s="15">
        <f>ROUND(INDEX(卡牌图鉴!$AA$2:$AA$53,MATCH(monster!C101,卡牌图鉴!$C$2:$C$53,0)) * INDEX(数值规划表!$E$61:$E$71,monster!E101+1),2)</f>
        <v>4.2</v>
      </c>
      <c r="J101" s="15">
        <f>INDEX(卡牌图鉴!$J$2:$J$53,MATCH(monster!C101,卡牌图鉴!$C$2:$C$53,0))</f>
        <v>1.2</v>
      </c>
      <c r="K101" s="15">
        <f>INDEX(卡牌图鉴!$S$2:$S$53,MATCH(monster!C101,卡牌图鉴!$C$2:$C$53,0))</f>
        <v>5</v>
      </c>
      <c r="L101" s="15">
        <f>INDEX(卡牌图鉴!$H$2:$H$53,MATCH(monster!C101,卡牌图鉴!$C$2:$C$53,0))</f>
        <v>0.8</v>
      </c>
      <c r="M101" s="15">
        <f>INDEX(卡牌图鉴!$L$2:$L$53,MATCH(monster!C101,卡牌图鉴!$C$2:$C$53,0))</f>
        <v>10</v>
      </c>
      <c r="N101" s="15">
        <f>INDEX(卡牌图鉴!$AD$2:$AD$53,MATCH(monster!C101,卡牌图鉴!$C$2:$C$53,0))</f>
        <v>8</v>
      </c>
      <c r="O101" s="78">
        <f>INDEX(卡牌图鉴!$K$2:$K$53,MATCH(monster!C101,卡牌图鉴!$C$2:$C$53,0))</f>
        <v>10</v>
      </c>
    </row>
    <row r="102" spans="1:15" x14ac:dyDescent="0.15">
      <c r="A102" s="31">
        <v>1473</v>
      </c>
      <c r="B102" s="31" t="s">
        <v>514</v>
      </c>
      <c r="C102" s="31">
        <v>1472</v>
      </c>
      <c r="D102" s="15">
        <f>INDEX(卡牌图鉴!$S$2:$S$53,MATCH(monster!C102,卡牌图鉴!$C$2:$C$53,0))</f>
        <v>5</v>
      </c>
      <c r="E102" s="31">
        <v>1</v>
      </c>
      <c r="F102" s="15">
        <f>INT(INDEX(卡牌图鉴!$AB$2:$AB$53,MATCH(monster!C102,卡牌图鉴!$C$2:$C$57,0)) * INDEX(数值规划表!$B$61:$B$71,monster!E102+1) * 血量调整)</f>
        <v>2469</v>
      </c>
      <c r="G102" s="15">
        <f>ROUND(INDEX(卡牌图鉴!$AB$2:$AB$53,MATCH(monster!C102,卡牌图鉴!$C$2:$C$57,0)) * INDEX(数值规划表!$D$61:$D$71,monster!E102+1)*血量调整,2)</f>
        <v>74.069999999999993</v>
      </c>
      <c r="H102" s="15">
        <f>ROUND(INDEX(卡牌图鉴!$AA$2:$AA$53,MATCH(monster!C102,卡牌图鉴!$C$2:$C$53,0)) * INDEX(数值规划表!$C$61:$C$71,monster!E102+1),2)</f>
        <v>156.76</v>
      </c>
      <c r="I102" s="15">
        <f>ROUND(INDEX(卡牌图鉴!$AA$2:$AA$53,MATCH(monster!C102,卡牌图鉴!$C$2:$C$53,0)) * INDEX(数值规划表!$E$61:$E$71,monster!E102+1),2)</f>
        <v>4.7</v>
      </c>
      <c r="J102" s="15">
        <f>INDEX(卡牌图鉴!$J$2:$J$53,MATCH(monster!C102,卡牌图鉴!$C$2:$C$53,0))</f>
        <v>1.2</v>
      </c>
      <c r="K102" s="15">
        <f>INDEX(卡牌图鉴!$S$2:$S$53,MATCH(monster!C102,卡牌图鉴!$C$2:$C$53,0))</f>
        <v>5</v>
      </c>
      <c r="L102" s="15">
        <f>INDEX(卡牌图鉴!$H$2:$H$53,MATCH(monster!C102,卡牌图鉴!$C$2:$C$53,0))</f>
        <v>0.8</v>
      </c>
      <c r="M102" s="15">
        <f>INDEX(卡牌图鉴!$L$2:$L$53,MATCH(monster!C102,卡牌图鉴!$C$2:$C$53,0))</f>
        <v>10</v>
      </c>
      <c r="N102" s="15">
        <f>INDEX(卡牌图鉴!$AD$2:$AD$53,MATCH(monster!C102,卡牌图鉴!$C$2:$C$53,0))</f>
        <v>8</v>
      </c>
      <c r="O102" s="78">
        <f>INDEX(卡牌图鉴!$K$2:$K$53,MATCH(monster!C102,卡牌图鉴!$C$2:$C$53,0))</f>
        <v>10</v>
      </c>
    </row>
    <row r="103" spans="1:15" x14ac:dyDescent="0.15">
      <c r="A103" s="31">
        <v>1474</v>
      </c>
      <c r="B103" s="31" t="s">
        <v>515</v>
      </c>
      <c r="C103" s="31">
        <v>1472</v>
      </c>
      <c r="D103" s="15">
        <f>INDEX(卡牌图鉴!$S$2:$S$53,MATCH(monster!C103,卡牌图鉴!$C$2:$C$53,0))</f>
        <v>5</v>
      </c>
      <c r="E103" s="31">
        <v>2</v>
      </c>
      <c r="F103" s="15">
        <f>INT(INDEX(卡牌图鉴!$AB$2:$AB$53,MATCH(monster!C103,卡牌图鉴!$C$2:$C$57,0)) * INDEX(数值规划表!$B$61:$B$71,monster!E103+1) * 血量调整)</f>
        <v>2765</v>
      </c>
      <c r="G103" s="15">
        <f>ROUND(INDEX(卡牌图鉴!$AB$2:$AB$53,MATCH(monster!C103,卡牌图鉴!$C$2:$C$57,0)) * INDEX(数值规划表!$D$61:$D$71,monster!E103+1)*血量调整,2)</f>
        <v>82.96</v>
      </c>
      <c r="H103" s="15">
        <f>ROUND(INDEX(卡牌图鉴!$AA$2:$AA$53,MATCH(monster!C103,卡牌图鉴!$C$2:$C$53,0)) * INDEX(数值规划表!$C$61:$C$71,monster!E103+1),2)</f>
        <v>175.57</v>
      </c>
      <c r="I103" s="15">
        <f>ROUND(INDEX(卡牌图鉴!$AA$2:$AA$53,MATCH(monster!C103,卡牌图鉴!$C$2:$C$53,0)) * INDEX(数值规划表!$E$61:$E$71,monster!E103+1),2)</f>
        <v>5.27</v>
      </c>
      <c r="J103" s="15">
        <f>INDEX(卡牌图鉴!$J$2:$J$53,MATCH(monster!C103,卡牌图鉴!$C$2:$C$53,0))</f>
        <v>1.2</v>
      </c>
      <c r="K103" s="15">
        <f>INDEX(卡牌图鉴!$S$2:$S$53,MATCH(monster!C103,卡牌图鉴!$C$2:$C$53,0))</f>
        <v>5</v>
      </c>
      <c r="L103" s="15">
        <f>INDEX(卡牌图鉴!$H$2:$H$53,MATCH(monster!C103,卡牌图鉴!$C$2:$C$53,0))</f>
        <v>0.8</v>
      </c>
      <c r="M103" s="15">
        <f>INDEX(卡牌图鉴!$L$2:$L$53,MATCH(monster!C103,卡牌图鉴!$C$2:$C$53,0))</f>
        <v>10</v>
      </c>
      <c r="N103" s="15">
        <f>INDEX(卡牌图鉴!$AD$2:$AD$53,MATCH(monster!C103,卡牌图鉴!$C$2:$C$53,0))</f>
        <v>8</v>
      </c>
      <c r="O103" s="78">
        <f>INDEX(卡牌图鉴!$K$2:$K$53,MATCH(monster!C103,卡牌图鉴!$C$2:$C$53,0))</f>
        <v>10</v>
      </c>
    </row>
    <row r="104" spans="1:15" x14ac:dyDescent="0.15">
      <c r="A104" s="31">
        <v>1475</v>
      </c>
      <c r="B104" s="31" t="s">
        <v>516</v>
      </c>
      <c r="C104" s="31">
        <v>1472</v>
      </c>
      <c r="D104" s="15">
        <f>INDEX(卡牌图鉴!$S$2:$S$53,MATCH(monster!C104,卡牌图鉴!$C$2:$C$53,0))</f>
        <v>5</v>
      </c>
      <c r="E104" s="31">
        <v>3</v>
      </c>
      <c r="F104" s="15">
        <f>INT(INDEX(卡牌图鉴!$AB$2:$AB$53,MATCH(monster!C104,卡牌图鉴!$C$2:$C$57,0)) * INDEX(数值规划表!$B$61:$B$71,monster!E104+1) * 血量调整)</f>
        <v>3097</v>
      </c>
      <c r="G104" s="15">
        <f>ROUND(INDEX(卡牌图鉴!$AB$2:$AB$53,MATCH(monster!C104,卡牌图鉴!$C$2:$C$57,0)) * INDEX(数值规划表!$D$61:$D$71,monster!E104+1)*血量调整,2)</f>
        <v>92.91</v>
      </c>
      <c r="H104" s="15">
        <f>ROUND(INDEX(卡牌图鉴!$AA$2:$AA$53,MATCH(monster!C104,卡牌图鉴!$C$2:$C$53,0)) * INDEX(数值规划表!$C$61:$C$71,monster!E104+1),2)</f>
        <v>196.63</v>
      </c>
      <c r="I104" s="15">
        <f>ROUND(INDEX(卡牌图鉴!$AA$2:$AA$53,MATCH(monster!C104,卡牌图鉴!$C$2:$C$53,0)) * INDEX(数值规划表!$E$61:$E$71,monster!E104+1),2)</f>
        <v>5.9</v>
      </c>
      <c r="J104" s="15">
        <f>INDEX(卡牌图鉴!$J$2:$J$53,MATCH(monster!C104,卡牌图鉴!$C$2:$C$53,0))</f>
        <v>1.2</v>
      </c>
      <c r="K104" s="15">
        <f>INDEX(卡牌图鉴!$S$2:$S$53,MATCH(monster!C104,卡牌图鉴!$C$2:$C$53,0))</f>
        <v>5</v>
      </c>
      <c r="L104" s="15">
        <f>INDEX(卡牌图鉴!$H$2:$H$53,MATCH(monster!C104,卡牌图鉴!$C$2:$C$53,0))</f>
        <v>0.8</v>
      </c>
      <c r="M104" s="15">
        <f>INDEX(卡牌图鉴!$L$2:$L$53,MATCH(monster!C104,卡牌图鉴!$C$2:$C$53,0))</f>
        <v>10</v>
      </c>
      <c r="N104" s="15">
        <f>INDEX(卡牌图鉴!$AD$2:$AD$53,MATCH(monster!C104,卡牌图鉴!$C$2:$C$53,0))</f>
        <v>8</v>
      </c>
      <c r="O104" s="78">
        <f>INDEX(卡牌图鉴!$K$2:$K$53,MATCH(monster!C104,卡牌图鉴!$C$2:$C$53,0))</f>
        <v>10</v>
      </c>
    </row>
    <row r="105" spans="1:15" x14ac:dyDescent="0.15">
      <c r="A105" s="31">
        <v>1476</v>
      </c>
      <c r="B105" s="31" t="s">
        <v>517</v>
      </c>
      <c r="C105" s="31">
        <v>1472</v>
      </c>
      <c r="D105" s="15">
        <f>INDEX(卡牌图鉴!$S$2:$S$53,MATCH(monster!C105,卡牌图鉴!$C$2:$C$53,0))</f>
        <v>5</v>
      </c>
      <c r="E105" s="31">
        <v>4</v>
      </c>
      <c r="F105" s="15">
        <f>INT(INDEX(卡牌图鉴!$AB$2:$AB$53,MATCH(monster!C105,卡牌图鉴!$C$2:$C$57,0)) * INDEX(数值规划表!$B$61:$B$71,monster!E105+1) * 血量调整)</f>
        <v>3468</v>
      </c>
      <c r="G105" s="15">
        <f>ROUND(INDEX(卡牌图鉴!$AB$2:$AB$53,MATCH(monster!C105,卡牌图鉴!$C$2:$C$57,0)) * INDEX(数值规划表!$D$61:$D$71,monster!E105+1)*血量调整,2)</f>
        <v>104.06</v>
      </c>
      <c r="H105" s="15">
        <f>ROUND(INDEX(卡牌图鉴!$AA$2:$AA$53,MATCH(monster!C105,卡牌图鉴!$C$2:$C$53,0)) * INDEX(数值规划表!$C$61:$C$71,monster!E105+1),2)</f>
        <v>220.23</v>
      </c>
      <c r="I105" s="15">
        <f>ROUND(INDEX(卡牌图鉴!$AA$2:$AA$53,MATCH(monster!C105,卡牌图鉴!$C$2:$C$53,0)) * INDEX(数值规划表!$E$61:$E$71,monster!E105+1),2)</f>
        <v>6.61</v>
      </c>
      <c r="J105" s="15">
        <f>INDEX(卡牌图鉴!$J$2:$J$53,MATCH(monster!C105,卡牌图鉴!$C$2:$C$53,0))</f>
        <v>1.2</v>
      </c>
      <c r="K105" s="15">
        <f>INDEX(卡牌图鉴!$S$2:$S$53,MATCH(monster!C105,卡牌图鉴!$C$2:$C$53,0))</f>
        <v>5</v>
      </c>
      <c r="L105" s="15">
        <f>INDEX(卡牌图鉴!$H$2:$H$53,MATCH(monster!C105,卡牌图鉴!$C$2:$C$53,0))</f>
        <v>0.8</v>
      </c>
      <c r="M105" s="15">
        <f>INDEX(卡牌图鉴!$L$2:$L$53,MATCH(monster!C105,卡牌图鉴!$C$2:$C$53,0))</f>
        <v>10</v>
      </c>
      <c r="N105" s="15">
        <f>INDEX(卡牌图鉴!$AD$2:$AD$53,MATCH(monster!C105,卡牌图鉴!$C$2:$C$53,0))</f>
        <v>8</v>
      </c>
      <c r="O105" s="78">
        <f>INDEX(卡牌图鉴!$K$2:$K$53,MATCH(monster!C105,卡牌图鉴!$C$2:$C$53,0))</f>
        <v>10</v>
      </c>
    </row>
    <row r="106" spans="1:15" x14ac:dyDescent="0.15">
      <c r="A106" s="31">
        <v>1477</v>
      </c>
      <c r="B106" s="31" t="s">
        <v>518</v>
      </c>
      <c r="C106" s="31">
        <v>1472</v>
      </c>
      <c r="D106" s="15">
        <f>INDEX(卡牌图鉴!$S$2:$S$53,MATCH(monster!C106,卡牌图鉴!$C$2:$C$53,0))</f>
        <v>5</v>
      </c>
      <c r="E106" s="31">
        <v>5</v>
      </c>
      <c r="F106" s="15">
        <f>INT(INDEX(卡牌图鉴!$AB$2:$AB$53,MATCH(monster!C106,卡牌图鉴!$C$2:$C$57,0)) * INDEX(数值规划表!$B$61:$B$71,monster!E106+1) * 血量调整)</f>
        <v>3885</v>
      </c>
      <c r="G106" s="15">
        <f>ROUND(INDEX(卡牌图鉴!$AB$2:$AB$53,MATCH(monster!C106,卡牌图鉴!$C$2:$C$57,0)) * INDEX(数值规划表!$D$61:$D$71,monster!E106+1)*血量调整,2)</f>
        <v>116.55</v>
      </c>
      <c r="H106" s="15">
        <f>ROUND(INDEX(卡牌图鉴!$AA$2:$AA$53,MATCH(monster!C106,卡牌图鉴!$C$2:$C$53,0)) * INDEX(数值规划表!$C$61:$C$71,monster!E106+1),2)</f>
        <v>246.66</v>
      </c>
      <c r="I106" s="15">
        <f>ROUND(INDEX(卡牌图鉴!$AA$2:$AA$53,MATCH(monster!C106,卡牌图鉴!$C$2:$C$53,0)) * INDEX(数值规划表!$E$61:$E$71,monster!E106+1),2)</f>
        <v>7.4</v>
      </c>
      <c r="J106" s="15">
        <f>INDEX(卡牌图鉴!$J$2:$J$53,MATCH(monster!C106,卡牌图鉴!$C$2:$C$53,0))</f>
        <v>1.2</v>
      </c>
      <c r="K106" s="15">
        <f>INDEX(卡牌图鉴!$S$2:$S$53,MATCH(monster!C106,卡牌图鉴!$C$2:$C$53,0))</f>
        <v>5</v>
      </c>
      <c r="L106" s="15">
        <f>INDEX(卡牌图鉴!$H$2:$H$53,MATCH(monster!C106,卡牌图鉴!$C$2:$C$53,0))</f>
        <v>0.8</v>
      </c>
      <c r="M106" s="15">
        <f>INDEX(卡牌图鉴!$L$2:$L$53,MATCH(monster!C106,卡牌图鉴!$C$2:$C$53,0))</f>
        <v>10</v>
      </c>
      <c r="N106" s="15">
        <f>INDEX(卡牌图鉴!$AD$2:$AD$53,MATCH(monster!C106,卡牌图鉴!$C$2:$C$53,0))</f>
        <v>8</v>
      </c>
      <c r="O106" s="78">
        <f>INDEX(卡牌图鉴!$K$2:$K$53,MATCH(monster!C106,卡牌图鉴!$C$2:$C$53,0))</f>
        <v>10</v>
      </c>
    </row>
    <row r="107" spans="1:15" x14ac:dyDescent="0.15">
      <c r="A107" s="31">
        <v>1478</v>
      </c>
      <c r="B107" s="31" t="s">
        <v>519</v>
      </c>
      <c r="C107" s="31">
        <v>1472</v>
      </c>
      <c r="D107" s="15">
        <f>INDEX(卡牌图鉴!$S$2:$S$53,MATCH(monster!C107,卡牌图鉴!$C$2:$C$53,0))</f>
        <v>5</v>
      </c>
      <c r="E107" s="31">
        <v>6</v>
      </c>
      <c r="F107" s="15">
        <f>INT(INDEX(卡牌图鉴!$AB$2:$AB$53,MATCH(monster!C107,卡牌图鉴!$C$2:$C$57,0)) * INDEX(数值规划表!$B$61:$B$71,monster!E107+1) * 血量调整)</f>
        <v>4351</v>
      </c>
      <c r="G107" s="15">
        <f>ROUND(INDEX(卡牌图鉴!$AB$2:$AB$53,MATCH(monster!C107,卡牌图鉴!$C$2:$C$57,0)) * INDEX(数值规划表!$D$61:$D$71,monster!E107+1)*血量调整,2)</f>
        <v>130.54</v>
      </c>
      <c r="H107" s="15">
        <f>ROUND(INDEX(卡牌图鉴!$AA$2:$AA$53,MATCH(monster!C107,卡牌图鉴!$C$2:$C$53,0)) * INDEX(数值规划表!$C$61:$C$71,monster!E107+1),2)</f>
        <v>276.26</v>
      </c>
      <c r="I107" s="15">
        <f>ROUND(INDEX(卡牌图鉴!$AA$2:$AA$53,MATCH(monster!C107,卡牌图鉴!$C$2:$C$53,0)) * INDEX(数值规划表!$E$61:$E$71,monster!E107+1),2)</f>
        <v>8.2899999999999991</v>
      </c>
      <c r="J107" s="15">
        <f>INDEX(卡牌图鉴!$J$2:$J$53,MATCH(monster!C107,卡牌图鉴!$C$2:$C$53,0))</f>
        <v>1.2</v>
      </c>
      <c r="K107" s="15">
        <f>INDEX(卡牌图鉴!$S$2:$S$53,MATCH(monster!C107,卡牌图鉴!$C$2:$C$53,0))</f>
        <v>5</v>
      </c>
      <c r="L107" s="15">
        <f>INDEX(卡牌图鉴!$H$2:$H$53,MATCH(monster!C107,卡牌图鉴!$C$2:$C$53,0))</f>
        <v>0.8</v>
      </c>
      <c r="M107" s="15">
        <f>INDEX(卡牌图鉴!$L$2:$L$53,MATCH(monster!C107,卡牌图鉴!$C$2:$C$53,0))</f>
        <v>10</v>
      </c>
      <c r="N107" s="15">
        <f>INDEX(卡牌图鉴!$AD$2:$AD$53,MATCH(monster!C107,卡牌图鉴!$C$2:$C$53,0))</f>
        <v>8</v>
      </c>
      <c r="O107" s="78">
        <f>INDEX(卡牌图鉴!$K$2:$K$53,MATCH(monster!C107,卡牌图鉴!$C$2:$C$53,0))</f>
        <v>10</v>
      </c>
    </row>
    <row r="108" spans="1:15" x14ac:dyDescent="0.15">
      <c r="A108" s="31">
        <v>1479</v>
      </c>
      <c r="B108" s="31" t="s">
        <v>520</v>
      </c>
      <c r="C108" s="31">
        <v>1472</v>
      </c>
      <c r="D108" s="15">
        <f>INDEX(卡牌图鉴!$S$2:$S$53,MATCH(monster!C108,卡牌图鉴!$C$2:$C$53,0))</f>
        <v>5</v>
      </c>
      <c r="E108" s="31">
        <v>7</v>
      </c>
      <c r="F108" s="15">
        <f>INT(INDEX(卡牌图鉴!$AB$2:$AB$53,MATCH(monster!C108,卡牌图鉴!$C$2:$C$57,0)) * INDEX(数值规划表!$B$61:$B$71,monster!E108+1) * 血量调整)</f>
        <v>4873</v>
      </c>
      <c r="G108" s="15">
        <f>ROUND(INDEX(卡牌图鉴!$AB$2:$AB$53,MATCH(monster!C108,卡牌图鉴!$C$2:$C$57,0)) * INDEX(数值规划表!$D$61:$D$71,monster!E108+1)*血量调整,2)</f>
        <v>146.19999999999999</v>
      </c>
      <c r="H108" s="15">
        <f>ROUND(INDEX(卡牌图鉴!$AA$2:$AA$53,MATCH(monster!C108,卡牌图鉴!$C$2:$C$53,0)) * INDEX(数值规划表!$C$61:$C$71,monster!E108+1),2)</f>
        <v>309.41000000000003</v>
      </c>
      <c r="I108" s="15">
        <f>ROUND(INDEX(卡牌图鉴!$AA$2:$AA$53,MATCH(monster!C108,卡牌图鉴!$C$2:$C$53,0)) * INDEX(数值规划表!$E$61:$E$71,monster!E108+1),2)</f>
        <v>9.2799999999999994</v>
      </c>
      <c r="J108" s="15">
        <f>INDEX(卡牌图鉴!$J$2:$J$53,MATCH(monster!C108,卡牌图鉴!$C$2:$C$53,0))</f>
        <v>1.2</v>
      </c>
      <c r="K108" s="15">
        <f>INDEX(卡牌图鉴!$S$2:$S$53,MATCH(monster!C108,卡牌图鉴!$C$2:$C$53,0))</f>
        <v>5</v>
      </c>
      <c r="L108" s="15">
        <f>INDEX(卡牌图鉴!$H$2:$H$53,MATCH(monster!C108,卡牌图鉴!$C$2:$C$53,0))</f>
        <v>0.8</v>
      </c>
      <c r="M108" s="15">
        <f>INDEX(卡牌图鉴!$L$2:$L$53,MATCH(monster!C108,卡牌图鉴!$C$2:$C$53,0))</f>
        <v>10</v>
      </c>
      <c r="N108" s="15">
        <f>INDEX(卡牌图鉴!$AD$2:$AD$53,MATCH(monster!C108,卡牌图鉴!$C$2:$C$53,0))</f>
        <v>8</v>
      </c>
      <c r="O108" s="78">
        <f>INDEX(卡牌图鉴!$K$2:$K$53,MATCH(monster!C108,卡牌图鉴!$C$2:$C$53,0))</f>
        <v>10</v>
      </c>
    </row>
    <row r="109" spans="1:15" x14ac:dyDescent="0.15">
      <c r="A109" s="31">
        <v>1480</v>
      </c>
      <c r="B109" s="31" t="s">
        <v>521</v>
      </c>
      <c r="C109" s="31">
        <v>1472</v>
      </c>
      <c r="D109" s="15">
        <f>INDEX(卡牌图鉴!$S$2:$S$53,MATCH(monster!C109,卡牌图鉴!$C$2:$C$53,0))</f>
        <v>5</v>
      </c>
      <c r="E109" s="31">
        <v>8</v>
      </c>
      <c r="F109" s="15">
        <f>INT(INDEX(卡牌图鉴!$AB$2:$AB$53,MATCH(monster!C109,卡牌图鉴!$C$2:$C$57,0)) * INDEX(数值规划表!$B$61:$B$71,monster!E109+1) * 血量调整)</f>
        <v>5458</v>
      </c>
      <c r="G109" s="15">
        <f>ROUND(INDEX(卡牌图鉴!$AB$2:$AB$53,MATCH(monster!C109,卡牌图鉴!$C$2:$C$57,0)) * INDEX(数值规划表!$D$61:$D$71,monster!E109+1)*血量调整,2)</f>
        <v>163.75</v>
      </c>
      <c r="H109" s="15">
        <f>ROUND(INDEX(卡牌图鉴!$AA$2:$AA$53,MATCH(monster!C109,卡牌图鉴!$C$2:$C$53,0)) * INDEX(数值规划表!$C$61:$C$71,monster!E109+1),2)</f>
        <v>346.54</v>
      </c>
      <c r="I109" s="15">
        <f>ROUND(INDEX(卡牌图鉴!$AA$2:$AA$53,MATCH(monster!C109,卡牌图鉴!$C$2:$C$53,0)) * INDEX(数值规划表!$E$61:$E$71,monster!E109+1),2)</f>
        <v>10.4</v>
      </c>
      <c r="J109" s="15">
        <f>INDEX(卡牌图鉴!$J$2:$J$53,MATCH(monster!C109,卡牌图鉴!$C$2:$C$53,0))</f>
        <v>1.2</v>
      </c>
      <c r="K109" s="15">
        <f>INDEX(卡牌图鉴!$S$2:$S$53,MATCH(monster!C109,卡牌图鉴!$C$2:$C$53,0))</f>
        <v>5</v>
      </c>
      <c r="L109" s="15">
        <f>INDEX(卡牌图鉴!$H$2:$H$53,MATCH(monster!C109,卡牌图鉴!$C$2:$C$53,0))</f>
        <v>0.8</v>
      </c>
      <c r="M109" s="15">
        <f>INDEX(卡牌图鉴!$L$2:$L$53,MATCH(monster!C109,卡牌图鉴!$C$2:$C$53,0))</f>
        <v>10</v>
      </c>
      <c r="N109" s="15">
        <f>INDEX(卡牌图鉴!$AD$2:$AD$53,MATCH(monster!C109,卡牌图鉴!$C$2:$C$53,0))</f>
        <v>8</v>
      </c>
      <c r="O109" s="78">
        <f>INDEX(卡牌图鉴!$K$2:$K$53,MATCH(monster!C109,卡牌图鉴!$C$2:$C$53,0))</f>
        <v>10</v>
      </c>
    </row>
    <row r="110" spans="1:15" x14ac:dyDescent="0.15">
      <c r="A110" s="31">
        <v>1481</v>
      </c>
      <c r="B110" s="31" t="s">
        <v>522</v>
      </c>
      <c r="C110" s="31">
        <v>1472</v>
      </c>
      <c r="D110" s="15">
        <f>INDEX(卡牌图鉴!$S$2:$S$53,MATCH(monster!C110,卡牌图鉴!$C$2:$C$53,0))</f>
        <v>5</v>
      </c>
      <c r="E110" s="31">
        <v>9</v>
      </c>
      <c r="F110" s="15">
        <f>INT(INDEX(卡牌图鉴!$AB$2:$AB$53,MATCH(monster!C110,卡牌图鉴!$C$2:$C$57,0)) * INDEX(数值规划表!$B$61:$B$71,monster!E110+1) * 血量调整)</f>
        <v>6113</v>
      </c>
      <c r="G110" s="15">
        <f>ROUND(INDEX(卡牌图鉴!$AB$2:$AB$53,MATCH(monster!C110,卡牌图鉴!$C$2:$C$57,0)) * INDEX(数值规划表!$D$61:$D$71,monster!E110+1)*血量调整,2)</f>
        <v>183.4</v>
      </c>
      <c r="H110" s="15">
        <f>ROUND(INDEX(卡牌图鉴!$AA$2:$AA$53,MATCH(monster!C110,卡牌图鉴!$C$2:$C$53,0)) * INDEX(数值规划表!$C$61:$C$71,monster!E110+1),2)</f>
        <v>388.12</v>
      </c>
      <c r="I110" s="15">
        <f>ROUND(INDEX(卡牌图鉴!$AA$2:$AA$53,MATCH(monster!C110,卡牌图鉴!$C$2:$C$53,0)) * INDEX(数值规划表!$E$61:$E$71,monster!E110+1),2)</f>
        <v>11.64</v>
      </c>
      <c r="J110" s="15">
        <f>INDEX(卡牌图鉴!$J$2:$J$53,MATCH(monster!C110,卡牌图鉴!$C$2:$C$53,0))</f>
        <v>1.2</v>
      </c>
      <c r="K110" s="15">
        <f>INDEX(卡牌图鉴!$S$2:$S$53,MATCH(monster!C110,卡牌图鉴!$C$2:$C$53,0))</f>
        <v>5</v>
      </c>
      <c r="L110" s="15">
        <f>INDEX(卡牌图鉴!$H$2:$H$53,MATCH(monster!C110,卡牌图鉴!$C$2:$C$53,0))</f>
        <v>0.8</v>
      </c>
      <c r="M110" s="15">
        <f>INDEX(卡牌图鉴!$L$2:$L$53,MATCH(monster!C110,卡牌图鉴!$C$2:$C$53,0))</f>
        <v>10</v>
      </c>
      <c r="N110" s="15">
        <f>INDEX(卡牌图鉴!$AD$2:$AD$53,MATCH(monster!C110,卡牌图鉴!$C$2:$C$53,0))</f>
        <v>8</v>
      </c>
      <c r="O110" s="78">
        <f>INDEX(卡牌图鉴!$K$2:$K$53,MATCH(monster!C110,卡牌图鉴!$C$2:$C$53,0))</f>
        <v>10</v>
      </c>
    </row>
    <row r="111" spans="1:15" x14ac:dyDescent="0.15">
      <c r="A111" s="31">
        <v>1482</v>
      </c>
      <c r="B111" s="31" t="s">
        <v>523</v>
      </c>
      <c r="C111" s="31">
        <v>1472</v>
      </c>
      <c r="D111" s="15">
        <f>INDEX(卡牌图鉴!$S$2:$S$53,MATCH(monster!C111,卡牌图鉴!$C$2:$C$53,0))</f>
        <v>5</v>
      </c>
      <c r="E111" s="31">
        <v>10</v>
      </c>
      <c r="F111" s="15">
        <f>INT(INDEX(卡牌图鉴!$AB$2:$AB$53,MATCH(monster!C111,卡牌图鉴!$C$2:$C$57,0)) * INDEX(数值规划表!$B$61:$B$71,monster!E111+1) * 血量调整)</f>
        <v>6846</v>
      </c>
      <c r="G111" s="15">
        <f>ROUND(INDEX(卡牌图鉴!$AB$2:$AB$53,MATCH(monster!C111,卡牌图鉴!$C$2:$C$57,0)) * INDEX(数值规划表!$D$61:$D$71,monster!E111+1)*血量调整,2)</f>
        <v>205.4</v>
      </c>
      <c r="H111" s="15">
        <f>ROUND(INDEX(卡牌图鉴!$AA$2:$AA$53,MATCH(monster!C111,卡牌图鉴!$C$2:$C$53,0)) * INDEX(数值规划表!$C$61:$C$71,monster!E111+1),2)</f>
        <v>434.69</v>
      </c>
      <c r="I111" s="15">
        <f>ROUND(INDEX(卡牌图鉴!$AA$2:$AA$53,MATCH(monster!C111,卡牌图鉴!$C$2:$C$53,0)) * INDEX(数值规划表!$E$61:$E$71,monster!E111+1),2)</f>
        <v>13.04</v>
      </c>
      <c r="J111" s="15">
        <f>INDEX(卡牌图鉴!$J$2:$J$53,MATCH(monster!C111,卡牌图鉴!$C$2:$C$53,0))</f>
        <v>1.2</v>
      </c>
      <c r="K111" s="15">
        <f>INDEX(卡牌图鉴!$S$2:$S$53,MATCH(monster!C111,卡牌图鉴!$C$2:$C$53,0))</f>
        <v>5</v>
      </c>
      <c r="L111" s="15">
        <f>INDEX(卡牌图鉴!$H$2:$H$53,MATCH(monster!C111,卡牌图鉴!$C$2:$C$53,0))</f>
        <v>0.8</v>
      </c>
      <c r="M111" s="15">
        <f>INDEX(卡牌图鉴!$L$2:$L$53,MATCH(monster!C111,卡牌图鉴!$C$2:$C$53,0))</f>
        <v>10</v>
      </c>
      <c r="N111" s="15">
        <f>INDEX(卡牌图鉴!$AD$2:$AD$53,MATCH(monster!C111,卡牌图鉴!$C$2:$C$53,0))</f>
        <v>8</v>
      </c>
      <c r="O111" s="78">
        <f>INDEX(卡牌图鉴!$K$2:$K$53,MATCH(monster!C111,卡牌图鉴!$C$2:$C$53,0))</f>
        <v>10</v>
      </c>
    </row>
    <row r="112" spans="1:15" x14ac:dyDescent="0.15">
      <c r="A112" s="31">
        <v>1517</v>
      </c>
      <c r="B112" s="31" t="s">
        <v>1428</v>
      </c>
      <c r="C112" s="31">
        <v>1517</v>
      </c>
      <c r="D112" s="15">
        <f>INDEX(卡牌图鉴!$S$2:$S$53,MATCH(monster!C112,卡牌图鉴!$C$2:$C$53,0))</f>
        <v>5</v>
      </c>
      <c r="E112" s="31">
        <v>0</v>
      </c>
      <c r="F112" s="15">
        <f>INT(INDEX(卡牌图鉴!$AB$2:$AB$53,MATCH(monster!C112,卡牌图鉴!$C$2:$C$57,0)) * INDEX(数值规划表!$B$61:$B$71,monster!E112+1) * 血量调整)</f>
        <v>880</v>
      </c>
      <c r="G112" s="15">
        <f>ROUND(INDEX(卡牌图鉴!$AB$2:$AB$53,MATCH(monster!C112,卡牌图鉴!$C$2:$C$57,0)) * INDEX(数值规划表!$D$61:$D$71,monster!E112+1)*血量调整,2)</f>
        <v>26.43</v>
      </c>
      <c r="H112" s="15">
        <f>ROUND(INDEX(卡牌图鉴!$AA$2:$AA$53,MATCH(monster!C112,卡牌图鉴!$C$2:$C$53,0)) * INDEX(数值规划表!$C$61:$C$71,monster!E112+1),2)</f>
        <v>106.58</v>
      </c>
      <c r="I112" s="15">
        <f>ROUND(INDEX(卡牌图鉴!$AA$2:$AA$53,MATCH(monster!C112,卡牌图鉴!$C$2:$C$53,0)) * INDEX(数值规划表!$E$61:$E$71,monster!E112+1),2)</f>
        <v>3.2</v>
      </c>
      <c r="J112" s="15">
        <f>INDEX(卡牌图鉴!$J$2:$J$53,MATCH(monster!C112,卡牌图鉴!$C$2:$C$53,0))</f>
        <v>1.2</v>
      </c>
      <c r="K112" s="15">
        <f>INDEX(卡牌图鉴!$S$2:$S$53,MATCH(monster!C112,卡牌图鉴!$C$2:$C$53,0))</f>
        <v>5</v>
      </c>
      <c r="L112" s="15">
        <f>INDEX(卡牌图鉴!$H$2:$H$53,MATCH(monster!C112,卡牌图鉴!$C$2:$C$53,0))</f>
        <v>1.1000000000000001</v>
      </c>
      <c r="M112" s="15">
        <f>INDEX(卡牌图鉴!$L$2:$L$53,MATCH(monster!C112,卡牌图鉴!$C$2:$C$53,0))</f>
        <v>6</v>
      </c>
      <c r="N112" s="15">
        <f>INDEX(卡牌图鉴!$AD$2:$AD$53,MATCH(monster!C112,卡牌图鉴!$C$2:$C$53,0))</f>
        <v>8</v>
      </c>
      <c r="O112" s="78">
        <f>INDEX(卡牌图鉴!$K$2:$K$53,MATCH(monster!C112,卡牌图鉴!$C$2:$C$53,0))</f>
        <v>6</v>
      </c>
    </row>
    <row r="113" spans="1:15" x14ac:dyDescent="0.15">
      <c r="A113" s="31">
        <v>1518</v>
      </c>
      <c r="B113" s="31" t="s">
        <v>1429</v>
      </c>
      <c r="C113" s="31">
        <v>1517</v>
      </c>
      <c r="D113" s="15">
        <f>INDEX(卡牌图鉴!$S$2:$S$53,MATCH(monster!C113,卡牌图鉴!$C$2:$C$53,0))</f>
        <v>5</v>
      </c>
      <c r="E113" s="31">
        <v>1</v>
      </c>
      <c r="F113" s="15">
        <f>INT(INDEX(卡牌图鉴!$AB$2:$AB$53,MATCH(monster!C113,卡牌图鉴!$C$2:$C$57,0)) * INDEX(数值规划表!$B$61:$B$71,monster!E113+1) * 血量调整)</f>
        <v>986</v>
      </c>
      <c r="G113" s="15">
        <f>ROUND(INDEX(卡牌图鉴!$AB$2:$AB$53,MATCH(monster!C113,卡牌图鉴!$C$2:$C$57,0)) * INDEX(数值规划表!$D$61:$D$71,monster!E113+1)*血量调整,2)</f>
        <v>29.6</v>
      </c>
      <c r="H113" s="15">
        <f>ROUND(INDEX(卡牌图鉴!$AA$2:$AA$53,MATCH(monster!C113,卡牌图鉴!$C$2:$C$53,0)) * INDEX(数值规划表!$C$61:$C$71,monster!E113+1),2)</f>
        <v>119.37</v>
      </c>
      <c r="I113" s="15">
        <f>ROUND(INDEX(卡牌图鉴!$AA$2:$AA$53,MATCH(monster!C113,卡牌图鉴!$C$2:$C$53,0)) * INDEX(数值规划表!$E$61:$E$71,monster!E113+1),2)</f>
        <v>3.58</v>
      </c>
      <c r="J113" s="15">
        <f>INDEX(卡牌图鉴!$J$2:$J$53,MATCH(monster!C113,卡牌图鉴!$C$2:$C$53,0))</f>
        <v>1.2</v>
      </c>
      <c r="K113" s="15">
        <f>INDEX(卡牌图鉴!$S$2:$S$53,MATCH(monster!C113,卡牌图鉴!$C$2:$C$53,0))</f>
        <v>5</v>
      </c>
      <c r="L113" s="15">
        <f>INDEX(卡牌图鉴!$H$2:$H$53,MATCH(monster!C113,卡牌图鉴!$C$2:$C$53,0))</f>
        <v>1.1000000000000001</v>
      </c>
      <c r="M113" s="15">
        <f>INDEX(卡牌图鉴!$L$2:$L$53,MATCH(monster!C113,卡牌图鉴!$C$2:$C$53,0))</f>
        <v>6</v>
      </c>
      <c r="N113" s="15">
        <f>INDEX(卡牌图鉴!$AD$2:$AD$53,MATCH(monster!C113,卡牌图鉴!$C$2:$C$53,0))</f>
        <v>8</v>
      </c>
      <c r="O113" s="78">
        <f>INDEX(卡牌图鉴!$K$2:$K$53,MATCH(monster!C113,卡牌图鉴!$C$2:$C$53,0))</f>
        <v>6</v>
      </c>
    </row>
    <row r="114" spans="1:15" x14ac:dyDescent="0.15">
      <c r="A114" s="31">
        <v>1519</v>
      </c>
      <c r="B114" s="31" t="s">
        <v>551</v>
      </c>
      <c r="C114" s="31">
        <v>1517</v>
      </c>
      <c r="D114" s="15">
        <f>INDEX(卡牌图鉴!$S$2:$S$53,MATCH(monster!C114,卡牌图鉴!$C$2:$C$53,0))</f>
        <v>5</v>
      </c>
      <c r="E114" s="31">
        <v>2</v>
      </c>
      <c r="F114" s="15">
        <f>INT(INDEX(卡牌图鉴!$AB$2:$AB$53,MATCH(monster!C114,卡牌图鉴!$C$2:$C$57,0)) * INDEX(数值规划表!$B$61:$B$71,monster!E114+1) * 血量调整)</f>
        <v>1105</v>
      </c>
      <c r="G114" s="15">
        <f>ROUND(INDEX(卡牌图鉴!$AB$2:$AB$53,MATCH(monster!C114,卡牌图鉴!$C$2:$C$57,0)) * INDEX(数值规划表!$D$61:$D$71,monster!E114+1)*血量调整,2)</f>
        <v>33.15</v>
      </c>
      <c r="H114" s="15">
        <f>ROUND(INDEX(卡牌图鉴!$AA$2:$AA$53,MATCH(monster!C114,卡牌图鉴!$C$2:$C$53,0)) * INDEX(数值规划表!$C$61:$C$71,monster!E114+1),2)</f>
        <v>133.69</v>
      </c>
      <c r="I114" s="15">
        <f>ROUND(INDEX(卡牌图鉴!$AA$2:$AA$53,MATCH(monster!C114,卡牌图鉴!$C$2:$C$53,0)) * INDEX(数值规划表!$E$61:$E$71,monster!E114+1),2)</f>
        <v>4.01</v>
      </c>
      <c r="J114" s="15">
        <f>INDEX(卡牌图鉴!$J$2:$J$53,MATCH(monster!C114,卡牌图鉴!$C$2:$C$53,0))</f>
        <v>1.2</v>
      </c>
      <c r="K114" s="15">
        <f>INDEX(卡牌图鉴!$S$2:$S$53,MATCH(monster!C114,卡牌图鉴!$C$2:$C$53,0))</f>
        <v>5</v>
      </c>
      <c r="L114" s="15">
        <f>INDEX(卡牌图鉴!$H$2:$H$53,MATCH(monster!C114,卡牌图鉴!$C$2:$C$53,0))</f>
        <v>1.1000000000000001</v>
      </c>
      <c r="M114" s="15">
        <f>INDEX(卡牌图鉴!$L$2:$L$53,MATCH(monster!C114,卡牌图鉴!$C$2:$C$53,0))</f>
        <v>6</v>
      </c>
      <c r="N114" s="15">
        <f>INDEX(卡牌图鉴!$AD$2:$AD$53,MATCH(monster!C114,卡牌图鉴!$C$2:$C$53,0))</f>
        <v>8</v>
      </c>
      <c r="O114" s="78">
        <f>INDEX(卡牌图鉴!$K$2:$K$53,MATCH(monster!C114,卡牌图鉴!$C$2:$C$53,0))</f>
        <v>6</v>
      </c>
    </row>
    <row r="115" spans="1:15" x14ac:dyDescent="0.15">
      <c r="A115" s="31">
        <v>1520</v>
      </c>
      <c r="B115" s="31" t="s">
        <v>552</v>
      </c>
      <c r="C115" s="31">
        <v>1517</v>
      </c>
      <c r="D115" s="15">
        <f>INDEX(卡牌图鉴!$S$2:$S$53,MATCH(monster!C115,卡牌图鉴!$C$2:$C$53,0))</f>
        <v>5</v>
      </c>
      <c r="E115" s="31">
        <v>3</v>
      </c>
      <c r="F115" s="15">
        <f>INT(INDEX(卡牌图鉴!$AB$2:$AB$53,MATCH(monster!C115,卡牌图鉴!$C$2:$C$57,0)) * INDEX(数值规划表!$B$61:$B$71,monster!E115+1) * 血量调整)</f>
        <v>1237</v>
      </c>
      <c r="G115" s="15">
        <f>ROUND(INDEX(卡牌图鉴!$AB$2:$AB$53,MATCH(monster!C115,卡牌图鉴!$C$2:$C$57,0)) * INDEX(数值规划表!$D$61:$D$71,monster!E115+1)*血量调整,2)</f>
        <v>37.130000000000003</v>
      </c>
      <c r="H115" s="15">
        <f>ROUND(INDEX(卡牌图鉴!$AA$2:$AA$53,MATCH(monster!C115,卡牌图鉴!$C$2:$C$53,0)) * INDEX(数值规划表!$C$61:$C$71,monster!E115+1),2)</f>
        <v>149.74</v>
      </c>
      <c r="I115" s="15">
        <f>ROUND(INDEX(卡牌图鉴!$AA$2:$AA$53,MATCH(monster!C115,卡牌图鉴!$C$2:$C$53,0)) * INDEX(数值规划表!$E$61:$E$71,monster!E115+1),2)</f>
        <v>4.49</v>
      </c>
      <c r="J115" s="15">
        <f>INDEX(卡牌图鉴!$J$2:$J$53,MATCH(monster!C115,卡牌图鉴!$C$2:$C$53,0))</f>
        <v>1.2</v>
      </c>
      <c r="K115" s="15">
        <f>INDEX(卡牌图鉴!$S$2:$S$53,MATCH(monster!C115,卡牌图鉴!$C$2:$C$53,0))</f>
        <v>5</v>
      </c>
      <c r="L115" s="15">
        <f>INDEX(卡牌图鉴!$H$2:$H$53,MATCH(monster!C115,卡牌图鉴!$C$2:$C$53,0))</f>
        <v>1.1000000000000001</v>
      </c>
      <c r="M115" s="15">
        <f>INDEX(卡牌图鉴!$L$2:$L$53,MATCH(monster!C115,卡牌图鉴!$C$2:$C$53,0))</f>
        <v>6</v>
      </c>
      <c r="N115" s="15">
        <f>INDEX(卡牌图鉴!$AD$2:$AD$53,MATCH(monster!C115,卡牌图鉴!$C$2:$C$53,0))</f>
        <v>8</v>
      </c>
      <c r="O115" s="78">
        <f>INDEX(卡牌图鉴!$K$2:$K$53,MATCH(monster!C115,卡牌图鉴!$C$2:$C$53,0))</f>
        <v>6</v>
      </c>
    </row>
    <row r="116" spans="1:15" x14ac:dyDescent="0.15">
      <c r="A116" s="31">
        <v>1521</v>
      </c>
      <c r="B116" s="31" t="s">
        <v>553</v>
      </c>
      <c r="C116" s="31">
        <v>1517</v>
      </c>
      <c r="D116" s="15">
        <f>INDEX(卡牌图鉴!$S$2:$S$53,MATCH(monster!C116,卡牌图鉴!$C$2:$C$53,0))</f>
        <v>5</v>
      </c>
      <c r="E116" s="31">
        <v>4</v>
      </c>
      <c r="F116" s="15">
        <f>INT(INDEX(卡牌图鉴!$AB$2:$AB$53,MATCH(monster!C116,卡牌图鉴!$C$2:$C$57,0)) * INDEX(数值规划表!$B$61:$B$71,monster!E116+1) * 血量调整)</f>
        <v>1386</v>
      </c>
      <c r="G116" s="15">
        <f>ROUND(INDEX(卡牌图鉴!$AB$2:$AB$53,MATCH(monster!C116,卡牌图鉴!$C$2:$C$57,0)) * INDEX(数值规划表!$D$61:$D$71,monster!E116+1)*血量调整,2)</f>
        <v>41.58</v>
      </c>
      <c r="H116" s="15">
        <f>ROUND(INDEX(卡牌图鉴!$AA$2:$AA$53,MATCH(monster!C116,卡牌图鉴!$C$2:$C$53,0)) * INDEX(数值规划表!$C$61:$C$71,monster!E116+1),2)</f>
        <v>167.71</v>
      </c>
      <c r="I116" s="15">
        <f>ROUND(INDEX(卡牌图鉴!$AA$2:$AA$53,MATCH(monster!C116,卡牌图鉴!$C$2:$C$53,0)) * INDEX(数值规划表!$E$61:$E$71,monster!E116+1),2)</f>
        <v>5.03</v>
      </c>
      <c r="J116" s="15">
        <f>INDEX(卡牌图鉴!$J$2:$J$53,MATCH(monster!C116,卡牌图鉴!$C$2:$C$53,0))</f>
        <v>1.2</v>
      </c>
      <c r="K116" s="15">
        <f>INDEX(卡牌图鉴!$S$2:$S$53,MATCH(monster!C116,卡牌图鉴!$C$2:$C$53,0))</f>
        <v>5</v>
      </c>
      <c r="L116" s="15">
        <f>INDEX(卡牌图鉴!$H$2:$H$53,MATCH(monster!C116,卡牌图鉴!$C$2:$C$53,0))</f>
        <v>1.1000000000000001</v>
      </c>
      <c r="M116" s="15">
        <f>INDEX(卡牌图鉴!$L$2:$L$53,MATCH(monster!C116,卡牌图鉴!$C$2:$C$53,0))</f>
        <v>6</v>
      </c>
      <c r="N116" s="15">
        <f>INDEX(卡牌图鉴!$AD$2:$AD$53,MATCH(monster!C116,卡牌图鉴!$C$2:$C$53,0))</f>
        <v>8</v>
      </c>
      <c r="O116" s="78">
        <f>INDEX(卡牌图鉴!$K$2:$K$53,MATCH(monster!C116,卡牌图鉴!$C$2:$C$53,0))</f>
        <v>6</v>
      </c>
    </row>
    <row r="117" spans="1:15" x14ac:dyDescent="0.15">
      <c r="A117" s="31">
        <v>1522</v>
      </c>
      <c r="B117" s="31" t="s">
        <v>554</v>
      </c>
      <c r="C117" s="31">
        <v>1517</v>
      </c>
      <c r="D117" s="15">
        <f>INDEX(卡牌图鉴!$S$2:$S$53,MATCH(monster!C117,卡牌图鉴!$C$2:$C$53,0))</f>
        <v>5</v>
      </c>
      <c r="E117" s="31">
        <v>5</v>
      </c>
      <c r="F117" s="15">
        <f>INT(INDEX(卡牌图鉴!$AB$2:$AB$53,MATCH(monster!C117,卡牌图鉴!$C$2:$C$57,0)) * INDEX(数值规划表!$B$61:$B$71,monster!E117+1) * 血量调整)</f>
        <v>1552</v>
      </c>
      <c r="G117" s="15">
        <f>ROUND(INDEX(卡牌图鉴!$AB$2:$AB$53,MATCH(monster!C117,卡牌图鉴!$C$2:$C$57,0)) * INDEX(数值规划表!$D$61:$D$71,monster!E117+1)*血量调整,2)</f>
        <v>46.57</v>
      </c>
      <c r="H117" s="15">
        <f>ROUND(INDEX(卡牌图鉴!$AA$2:$AA$53,MATCH(monster!C117,卡牌图鉴!$C$2:$C$53,0)) * INDEX(数值规划表!$C$61:$C$71,monster!E117+1),2)</f>
        <v>187.83</v>
      </c>
      <c r="I117" s="15">
        <f>ROUND(INDEX(卡牌图鉴!$AA$2:$AA$53,MATCH(monster!C117,卡牌图鉴!$C$2:$C$53,0)) * INDEX(数值规划表!$E$61:$E$71,monster!E117+1),2)</f>
        <v>5.63</v>
      </c>
      <c r="J117" s="15">
        <f>INDEX(卡牌图鉴!$J$2:$J$53,MATCH(monster!C117,卡牌图鉴!$C$2:$C$53,0))</f>
        <v>1.2</v>
      </c>
      <c r="K117" s="15">
        <f>INDEX(卡牌图鉴!$S$2:$S$53,MATCH(monster!C117,卡牌图鉴!$C$2:$C$53,0))</f>
        <v>5</v>
      </c>
      <c r="L117" s="15">
        <f>INDEX(卡牌图鉴!$H$2:$H$53,MATCH(monster!C117,卡牌图鉴!$C$2:$C$53,0))</f>
        <v>1.1000000000000001</v>
      </c>
      <c r="M117" s="15">
        <f>INDEX(卡牌图鉴!$L$2:$L$53,MATCH(monster!C117,卡牌图鉴!$C$2:$C$53,0))</f>
        <v>6</v>
      </c>
      <c r="N117" s="15">
        <f>INDEX(卡牌图鉴!$AD$2:$AD$53,MATCH(monster!C117,卡牌图鉴!$C$2:$C$53,0))</f>
        <v>8</v>
      </c>
      <c r="O117" s="78">
        <f>INDEX(卡牌图鉴!$K$2:$K$53,MATCH(monster!C117,卡牌图鉴!$C$2:$C$53,0))</f>
        <v>6</v>
      </c>
    </row>
    <row r="118" spans="1:15" x14ac:dyDescent="0.15">
      <c r="A118" s="31">
        <v>1523</v>
      </c>
      <c r="B118" s="31" t="s">
        <v>555</v>
      </c>
      <c r="C118" s="31">
        <v>1517</v>
      </c>
      <c r="D118" s="15">
        <f>INDEX(卡牌图鉴!$S$2:$S$53,MATCH(monster!C118,卡牌图鉴!$C$2:$C$53,0))</f>
        <v>5</v>
      </c>
      <c r="E118" s="31">
        <v>6</v>
      </c>
      <c r="F118" s="15">
        <f>INT(INDEX(卡牌图鉴!$AB$2:$AB$53,MATCH(monster!C118,卡牌图鉴!$C$2:$C$57,0)) * INDEX(数值规划表!$B$61:$B$71,monster!E118+1) * 血量调整)</f>
        <v>1738</v>
      </c>
      <c r="G118" s="15">
        <f>ROUND(INDEX(卡牌图鉴!$AB$2:$AB$53,MATCH(monster!C118,卡牌图鉴!$C$2:$C$57,0)) * INDEX(数值规划表!$D$61:$D$71,monster!E118+1)*血量调整,2)</f>
        <v>52.16</v>
      </c>
      <c r="H118" s="15">
        <f>ROUND(INDEX(卡牌图鉴!$AA$2:$AA$53,MATCH(monster!C118,卡牌图鉴!$C$2:$C$53,0)) * INDEX(数值规划表!$C$61:$C$71,monster!E118+1),2)</f>
        <v>210.37</v>
      </c>
      <c r="I118" s="15">
        <f>ROUND(INDEX(卡牌图鉴!$AA$2:$AA$53,MATCH(monster!C118,卡牌图鉴!$C$2:$C$53,0)) * INDEX(数值规划表!$E$61:$E$71,monster!E118+1),2)</f>
        <v>6.31</v>
      </c>
      <c r="J118" s="15">
        <f>INDEX(卡牌图鉴!$J$2:$J$53,MATCH(monster!C118,卡牌图鉴!$C$2:$C$53,0))</f>
        <v>1.2</v>
      </c>
      <c r="K118" s="15">
        <f>INDEX(卡牌图鉴!$S$2:$S$53,MATCH(monster!C118,卡牌图鉴!$C$2:$C$53,0))</f>
        <v>5</v>
      </c>
      <c r="L118" s="15">
        <f>INDEX(卡牌图鉴!$H$2:$H$53,MATCH(monster!C118,卡牌图鉴!$C$2:$C$53,0))</f>
        <v>1.1000000000000001</v>
      </c>
      <c r="M118" s="15">
        <f>INDEX(卡牌图鉴!$L$2:$L$53,MATCH(monster!C118,卡牌图鉴!$C$2:$C$53,0))</f>
        <v>6</v>
      </c>
      <c r="N118" s="15">
        <f>INDEX(卡牌图鉴!$AD$2:$AD$53,MATCH(monster!C118,卡牌图鉴!$C$2:$C$53,0))</f>
        <v>8</v>
      </c>
      <c r="O118" s="78">
        <f>INDEX(卡牌图鉴!$K$2:$K$53,MATCH(monster!C118,卡牌图鉴!$C$2:$C$53,0))</f>
        <v>6</v>
      </c>
    </row>
    <row r="119" spans="1:15" x14ac:dyDescent="0.15">
      <c r="A119" s="31">
        <v>1524</v>
      </c>
      <c r="B119" s="31" t="s">
        <v>556</v>
      </c>
      <c r="C119" s="31">
        <v>1517</v>
      </c>
      <c r="D119" s="15">
        <f>INDEX(卡牌图鉴!$S$2:$S$53,MATCH(monster!C119,卡牌图鉴!$C$2:$C$53,0))</f>
        <v>5</v>
      </c>
      <c r="E119" s="31">
        <v>7</v>
      </c>
      <c r="F119" s="15">
        <f>INT(INDEX(卡牌图鉴!$AB$2:$AB$53,MATCH(monster!C119,卡牌图鉴!$C$2:$C$57,0)) * INDEX(数值规划表!$B$61:$B$71,monster!E119+1) * 血量调整)</f>
        <v>1947</v>
      </c>
      <c r="G119" s="15">
        <f>ROUND(INDEX(卡牌图鉴!$AB$2:$AB$53,MATCH(monster!C119,卡牌图鉴!$C$2:$C$57,0)) * INDEX(数值规划表!$D$61:$D$71,monster!E119+1)*血量调整,2)</f>
        <v>58.42</v>
      </c>
      <c r="H119" s="15">
        <f>ROUND(INDEX(卡牌图鉴!$AA$2:$AA$53,MATCH(monster!C119,卡牌图鉴!$C$2:$C$53,0)) * INDEX(数值规划表!$C$61:$C$71,monster!E119+1),2)</f>
        <v>235.61</v>
      </c>
      <c r="I119" s="15">
        <f>ROUND(INDEX(卡牌图鉴!$AA$2:$AA$53,MATCH(monster!C119,卡牌图鉴!$C$2:$C$53,0)) * INDEX(数值规划表!$E$61:$E$71,monster!E119+1),2)</f>
        <v>7.07</v>
      </c>
      <c r="J119" s="15">
        <f>INDEX(卡牌图鉴!$J$2:$J$53,MATCH(monster!C119,卡牌图鉴!$C$2:$C$53,0))</f>
        <v>1.2</v>
      </c>
      <c r="K119" s="15">
        <f>INDEX(卡牌图鉴!$S$2:$S$53,MATCH(monster!C119,卡牌图鉴!$C$2:$C$53,0))</f>
        <v>5</v>
      </c>
      <c r="L119" s="15">
        <f>INDEX(卡牌图鉴!$H$2:$H$53,MATCH(monster!C119,卡牌图鉴!$C$2:$C$53,0))</f>
        <v>1.1000000000000001</v>
      </c>
      <c r="M119" s="15">
        <f>INDEX(卡牌图鉴!$L$2:$L$53,MATCH(monster!C119,卡牌图鉴!$C$2:$C$53,0))</f>
        <v>6</v>
      </c>
      <c r="N119" s="15">
        <f>INDEX(卡牌图鉴!$AD$2:$AD$53,MATCH(monster!C119,卡牌图鉴!$C$2:$C$53,0))</f>
        <v>8</v>
      </c>
      <c r="O119" s="78">
        <f>INDEX(卡牌图鉴!$K$2:$K$53,MATCH(monster!C119,卡牌图鉴!$C$2:$C$53,0))</f>
        <v>6</v>
      </c>
    </row>
    <row r="120" spans="1:15" x14ac:dyDescent="0.15">
      <c r="A120" s="31">
        <v>1525</v>
      </c>
      <c r="B120" s="31" t="s">
        <v>557</v>
      </c>
      <c r="C120" s="31">
        <v>1517</v>
      </c>
      <c r="D120" s="15">
        <f>INDEX(卡牌图鉴!$S$2:$S$53,MATCH(monster!C120,卡牌图鉴!$C$2:$C$53,0))</f>
        <v>5</v>
      </c>
      <c r="E120" s="31">
        <v>8</v>
      </c>
      <c r="F120" s="15">
        <f>INT(INDEX(卡牌图鉴!$AB$2:$AB$53,MATCH(monster!C120,卡牌图鉴!$C$2:$C$57,0)) * INDEX(数值规划表!$B$61:$B$71,monster!E120+1) * 血量调整)</f>
        <v>2181</v>
      </c>
      <c r="G120" s="15">
        <f>ROUND(INDEX(卡牌图鉴!$AB$2:$AB$53,MATCH(monster!C120,卡牌图鉴!$C$2:$C$57,0)) * INDEX(数值规划表!$D$61:$D$71,monster!E120+1)*血量调整,2)</f>
        <v>65.430000000000007</v>
      </c>
      <c r="H120" s="15">
        <f>ROUND(INDEX(卡牌图鉴!$AA$2:$AA$53,MATCH(monster!C120,卡牌图鉴!$C$2:$C$53,0)) * INDEX(数值规划表!$C$61:$C$71,monster!E120+1),2)</f>
        <v>263.89</v>
      </c>
      <c r="I120" s="15">
        <f>ROUND(INDEX(卡牌图鉴!$AA$2:$AA$53,MATCH(monster!C120,卡牌图鉴!$C$2:$C$53,0)) * INDEX(数值规划表!$E$61:$E$71,monster!E120+1),2)</f>
        <v>7.92</v>
      </c>
      <c r="J120" s="15">
        <f>INDEX(卡牌图鉴!$J$2:$J$53,MATCH(monster!C120,卡牌图鉴!$C$2:$C$53,0))</f>
        <v>1.2</v>
      </c>
      <c r="K120" s="15">
        <f>INDEX(卡牌图鉴!$S$2:$S$53,MATCH(monster!C120,卡牌图鉴!$C$2:$C$53,0))</f>
        <v>5</v>
      </c>
      <c r="L120" s="15">
        <f>INDEX(卡牌图鉴!$H$2:$H$53,MATCH(monster!C120,卡牌图鉴!$C$2:$C$53,0))</f>
        <v>1.1000000000000001</v>
      </c>
      <c r="M120" s="15">
        <f>INDEX(卡牌图鉴!$L$2:$L$53,MATCH(monster!C120,卡牌图鉴!$C$2:$C$53,0))</f>
        <v>6</v>
      </c>
      <c r="N120" s="15">
        <f>INDEX(卡牌图鉴!$AD$2:$AD$53,MATCH(monster!C120,卡牌图鉴!$C$2:$C$53,0))</f>
        <v>8</v>
      </c>
      <c r="O120" s="78">
        <f>INDEX(卡牌图鉴!$K$2:$K$53,MATCH(monster!C120,卡牌图鉴!$C$2:$C$53,0))</f>
        <v>6</v>
      </c>
    </row>
    <row r="121" spans="1:15" x14ac:dyDescent="0.15">
      <c r="A121" s="31">
        <v>1526</v>
      </c>
      <c r="B121" s="31" t="s">
        <v>558</v>
      </c>
      <c r="C121" s="31">
        <v>1517</v>
      </c>
      <c r="D121" s="15">
        <f>INDEX(卡牌图鉴!$S$2:$S$53,MATCH(monster!C121,卡牌图鉴!$C$2:$C$53,0))</f>
        <v>5</v>
      </c>
      <c r="E121" s="31">
        <v>9</v>
      </c>
      <c r="F121" s="15">
        <f>INT(INDEX(卡牌图鉴!$AB$2:$AB$53,MATCH(monster!C121,卡牌图鉴!$C$2:$C$57,0)) * INDEX(数值规划表!$B$61:$B$71,monster!E121+1) * 血量调整)</f>
        <v>2442</v>
      </c>
      <c r="G121" s="15">
        <f>ROUND(INDEX(卡牌图鉴!$AB$2:$AB$53,MATCH(monster!C121,卡牌图鉴!$C$2:$C$57,0)) * INDEX(数值规划表!$D$61:$D$71,monster!E121+1)*血量调整,2)</f>
        <v>73.290000000000006</v>
      </c>
      <c r="H121" s="15">
        <f>ROUND(INDEX(卡牌图鉴!$AA$2:$AA$53,MATCH(monster!C121,卡牌图鉴!$C$2:$C$53,0)) * INDEX(数值规划表!$C$61:$C$71,monster!E121+1),2)</f>
        <v>295.55</v>
      </c>
      <c r="I121" s="15">
        <f>ROUND(INDEX(卡牌图鉴!$AA$2:$AA$53,MATCH(monster!C121,卡牌图鉴!$C$2:$C$53,0)) * INDEX(数值规划表!$E$61:$E$71,monster!E121+1),2)</f>
        <v>8.8699999999999992</v>
      </c>
      <c r="J121" s="15">
        <f>INDEX(卡牌图鉴!$J$2:$J$53,MATCH(monster!C121,卡牌图鉴!$C$2:$C$53,0))</f>
        <v>1.2</v>
      </c>
      <c r="K121" s="15">
        <f>INDEX(卡牌图鉴!$S$2:$S$53,MATCH(monster!C121,卡牌图鉴!$C$2:$C$53,0))</f>
        <v>5</v>
      </c>
      <c r="L121" s="15">
        <f>INDEX(卡牌图鉴!$H$2:$H$53,MATCH(monster!C121,卡牌图鉴!$C$2:$C$53,0))</f>
        <v>1.1000000000000001</v>
      </c>
      <c r="M121" s="15">
        <f>INDEX(卡牌图鉴!$L$2:$L$53,MATCH(monster!C121,卡牌图鉴!$C$2:$C$53,0))</f>
        <v>6</v>
      </c>
      <c r="N121" s="15">
        <f>INDEX(卡牌图鉴!$AD$2:$AD$53,MATCH(monster!C121,卡牌图鉴!$C$2:$C$53,0))</f>
        <v>8</v>
      </c>
      <c r="O121" s="78">
        <f>INDEX(卡牌图鉴!$K$2:$K$53,MATCH(monster!C121,卡牌图鉴!$C$2:$C$53,0))</f>
        <v>6</v>
      </c>
    </row>
    <row r="122" spans="1:15" x14ac:dyDescent="0.15">
      <c r="A122" s="31">
        <v>1527</v>
      </c>
      <c r="B122" s="31" t="s">
        <v>559</v>
      </c>
      <c r="C122" s="31">
        <v>1517</v>
      </c>
      <c r="D122" s="15">
        <f>INDEX(卡牌图鉴!$S$2:$S$53,MATCH(monster!C122,卡牌图鉴!$C$2:$C$53,0))</f>
        <v>5</v>
      </c>
      <c r="E122" s="31">
        <v>10</v>
      </c>
      <c r="F122" s="15">
        <f>INT(INDEX(卡牌图鉴!$AB$2:$AB$53,MATCH(monster!C122,卡牌图鉴!$C$2:$C$57,0)) * INDEX(数值规划表!$B$61:$B$71,monster!E122+1) * 血量调整)</f>
        <v>2736</v>
      </c>
      <c r="G122" s="15">
        <f>ROUND(INDEX(卡牌图鉴!$AB$2:$AB$53,MATCH(monster!C122,卡牌图鉴!$C$2:$C$57,0)) * INDEX(数值规划表!$D$61:$D$71,monster!E122+1)*血量调整,2)</f>
        <v>82.08</v>
      </c>
      <c r="H122" s="15">
        <f>ROUND(INDEX(卡牌图鉴!$AA$2:$AA$53,MATCH(monster!C122,卡牌图鉴!$C$2:$C$53,0)) * INDEX(数值规划表!$C$61:$C$71,monster!E122+1),2)</f>
        <v>331.02</v>
      </c>
      <c r="I122" s="15">
        <f>ROUND(INDEX(卡牌图鉴!$AA$2:$AA$53,MATCH(monster!C122,卡牌图鉴!$C$2:$C$53,0)) * INDEX(数值规划表!$E$61:$E$71,monster!E122+1),2)</f>
        <v>9.93</v>
      </c>
      <c r="J122" s="15">
        <f>INDEX(卡牌图鉴!$J$2:$J$53,MATCH(monster!C122,卡牌图鉴!$C$2:$C$53,0))</f>
        <v>1.2</v>
      </c>
      <c r="K122" s="15">
        <f>INDEX(卡牌图鉴!$S$2:$S$53,MATCH(monster!C122,卡牌图鉴!$C$2:$C$53,0))</f>
        <v>5</v>
      </c>
      <c r="L122" s="15">
        <f>INDEX(卡牌图鉴!$H$2:$H$53,MATCH(monster!C122,卡牌图鉴!$C$2:$C$53,0))</f>
        <v>1.1000000000000001</v>
      </c>
      <c r="M122" s="15">
        <f>INDEX(卡牌图鉴!$L$2:$L$53,MATCH(monster!C122,卡牌图鉴!$C$2:$C$53,0))</f>
        <v>6</v>
      </c>
      <c r="N122" s="15">
        <f>INDEX(卡牌图鉴!$AD$2:$AD$53,MATCH(monster!C122,卡牌图鉴!$C$2:$C$53,0))</f>
        <v>8</v>
      </c>
      <c r="O122" s="78">
        <f>INDEX(卡牌图鉴!$K$2:$K$53,MATCH(monster!C122,卡牌图鉴!$C$2:$C$53,0))</f>
        <v>6</v>
      </c>
    </row>
    <row r="123" spans="1:15" x14ac:dyDescent="0.15">
      <c r="A123" s="31">
        <v>1528</v>
      </c>
      <c r="B123" s="31" t="s">
        <v>1430</v>
      </c>
      <c r="C123" s="31">
        <v>1528</v>
      </c>
      <c r="D123" s="15">
        <f>INDEX(卡牌图鉴!$S$2:$S$53,MATCH(monster!C123,卡牌图鉴!$C$2:$C$53,0))</f>
        <v>5</v>
      </c>
      <c r="E123" s="31">
        <v>0</v>
      </c>
      <c r="F123" s="15">
        <f>INT(INDEX(卡牌图鉴!$AB$2:$AB$53,MATCH(monster!C123,卡牌图鉴!$C$2:$C$57,0)) * INDEX(数值规划表!$B$61:$B$71,monster!E123+1) * 血量调整)</f>
        <v>413</v>
      </c>
      <c r="G123" s="15">
        <f>ROUND(INDEX(卡牌图鉴!$AB$2:$AB$53,MATCH(monster!C123,卡牌图鉴!$C$2:$C$57,0)) * INDEX(数值规划表!$D$61:$D$71,monster!E123+1)*血量调整,2)</f>
        <v>12.39</v>
      </c>
      <c r="H123" s="15">
        <f>ROUND(INDEX(卡牌图鉴!$AA$2:$AA$53,MATCH(monster!C123,卡牌图鉴!$C$2:$C$53,0)) * INDEX(数值规划表!$C$61:$C$71,monster!E123+1),2)</f>
        <v>72.48</v>
      </c>
      <c r="I123" s="15">
        <f>ROUND(INDEX(卡牌图鉴!$AA$2:$AA$53,MATCH(monster!C123,卡牌图鉴!$C$2:$C$53,0)) * INDEX(数值规划表!$E$61:$E$71,monster!E123+1),2)</f>
        <v>2.17</v>
      </c>
      <c r="J123" s="15">
        <f>INDEX(卡牌图鉴!$J$2:$J$53,MATCH(monster!C123,卡牌图鉴!$C$2:$C$53,0))</f>
        <v>1.2</v>
      </c>
      <c r="K123" s="15">
        <f>INDEX(卡牌图鉴!$S$2:$S$53,MATCH(monster!C123,卡牌图鉴!$C$2:$C$53,0))</f>
        <v>5</v>
      </c>
      <c r="L123" s="15">
        <f>INDEX(卡牌图鉴!$H$2:$H$53,MATCH(monster!C123,卡牌图鉴!$C$2:$C$53,0))</f>
        <v>1.4</v>
      </c>
      <c r="M123" s="15">
        <f>INDEX(卡牌图鉴!$L$2:$L$53,MATCH(monster!C123,卡牌图鉴!$C$2:$C$53,0))</f>
        <v>3</v>
      </c>
      <c r="N123" s="15">
        <f>INDEX(卡牌图鉴!$AD$2:$AD$53,MATCH(monster!C123,卡牌图鉴!$C$2:$C$53,0))</f>
        <v>8</v>
      </c>
      <c r="O123" s="78">
        <f>INDEX(卡牌图鉴!$K$2:$K$53,MATCH(monster!C123,卡牌图鉴!$C$2:$C$53,0))</f>
        <v>3</v>
      </c>
    </row>
    <row r="124" spans="1:15" x14ac:dyDescent="0.15">
      <c r="A124" s="31">
        <v>1529</v>
      </c>
      <c r="B124" s="31" t="s">
        <v>1431</v>
      </c>
      <c r="C124" s="31">
        <v>1528</v>
      </c>
      <c r="D124" s="15">
        <f>INDEX(卡牌图鉴!$S$2:$S$53,MATCH(monster!C124,卡牌图鉴!$C$2:$C$53,0))</f>
        <v>5</v>
      </c>
      <c r="E124" s="31">
        <v>1</v>
      </c>
      <c r="F124" s="15">
        <f>INT(INDEX(卡牌图鉴!$AB$2:$AB$53,MATCH(monster!C124,卡牌图鉴!$C$2:$C$57,0)) * INDEX(数值规划表!$B$61:$B$71,monster!E124+1) * 血量调整)</f>
        <v>462</v>
      </c>
      <c r="G124" s="15">
        <f>ROUND(INDEX(卡牌图鉴!$AB$2:$AB$53,MATCH(monster!C124,卡牌图鉴!$C$2:$C$57,0)) * INDEX(数值规划表!$D$61:$D$71,monster!E124+1)*血量调整,2)</f>
        <v>13.88</v>
      </c>
      <c r="H124" s="15">
        <f>ROUND(INDEX(卡牌图鉴!$AA$2:$AA$53,MATCH(monster!C124,卡牌图鉴!$C$2:$C$53,0)) * INDEX(数值规划表!$C$61:$C$71,monster!E124+1),2)</f>
        <v>81.180000000000007</v>
      </c>
      <c r="I124" s="15">
        <f>ROUND(INDEX(卡牌图鉴!$AA$2:$AA$53,MATCH(monster!C124,卡牌图鉴!$C$2:$C$53,0)) * INDEX(数值规划表!$E$61:$E$71,monster!E124+1),2)</f>
        <v>2.44</v>
      </c>
      <c r="J124" s="15">
        <f>INDEX(卡牌图鉴!$J$2:$J$53,MATCH(monster!C124,卡牌图鉴!$C$2:$C$53,0))</f>
        <v>1.2</v>
      </c>
      <c r="K124" s="15">
        <f>INDEX(卡牌图鉴!$S$2:$S$53,MATCH(monster!C124,卡牌图鉴!$C$2:$C$53,0))</f>
        <v>5</v>
      </c>
      <c r="L124" s="15">
        <f>INDEX(卡牌图鉴!$H$2:$H$53,MATCH(monster!C124,卡牌图鉴!$C$2:$C$53,0))</f>
        <v>1.4</v>
      </c>
      <c r="M124" s="15">
        <f>INDEX(卡牌图鉴!$L$2:$L$53,MATCH(monster!C124,卡牌图鉴!$C$2:$C$53,0))</f>
        <v>3</v>
      </c>
      <c r="N124" s="15">
        <f>INDEX(卡牌图鉴!$AD$2:$AD$53,MATCH(monster!C124,卡牌图鉴!$C$2:$C$53,0))</f>
        <v>8</v>
      </c>
      <c r="O124" s="78">
        <f>INDEX(卡牌图鉴!$K$2:$K$53,MATCH(monster!C124,卡牌图鉴!$C$2:$C$53,0))</f>
        <v>3</v>
      </c>
    </row>
    <row r="125" spans="1:15" x14ac:dyDescent="0.15">
      <c r="A125" s="31">
        <v>1530</v>
      </c>
      <c r="B125" s="31" t="s">
        <v>560</v>
      </c>
      <c r="C125" s="31">
        <v>1528</v>
      </c>
      <c r="D125" s="15">
        <f>INDEX(卡牌图鉴!$S$2:$S$53,MATCH(monster!C125,卡牌图鉴!$C$2:$C$53,0))</f>
        <v>5</v>
      </c>
      <c r="E125" s="31">
        <v>2</v>
      </c>
      <c r="F125" s="15">
        <f>INT(INDEX(卡牌图鉴!$AB$2:$AB$53,MATCH(monster!C125,卡牌图鉴!$C$2:$C$57,0)) * INDEX(数值规划表!$B$61:$B$71,monster!E125+1) * 血量调整)</f>
        <v>518</v>
      </c>
      <c r="G125" s="15">
        <f>ROUND(INDEX(卡牌图鉴!$AB$2:$AB$53,MATCH(monster!C125,卡牌图鉴!$C$2:$C$57,0)) * INDEX(数值规划表!$D$61:$D$71,monster!E125+1)*血量调整,2)</f>
        <v>15.55</v>
      </c>
      <c r="H125" s="15">
        <f>ROUND(INDEX(卡牌图鉴!$AA$2:$AA$53,MATCH(monster!C125,卡牌图鉴!$C$2:$C$53,0)) * INDEX(数值规划表!$C$61:$C$71,monster!E125+1),2)</f>
        <v>90.92</v>
      </c>
      <c r="I125" s="15">
        <f>ROUND(INDEX(卡牌图鉴!$AA$2:$AA$53,MATCH(monster!C125,卡牌图鉴!$C$2:$C$53,0)) * INDEX(数值规划表!$E$61:$E$71,monster!E125+1),2)</f>
        <v>2.73</v>
      </c>
      <c r="J125" s="15">
        <f>INDEX(卡牌图鉴!$J$2:$J$53,MATCH(monster!C125,卡牌图鉴!$C$2:$C$53,0))</f>
        <v>1.2</v>
      </c>
      <c r="K125" s="15">
        <f>INDEX(卡牌图鉴!$S$2:$S$53,MATCH(monster!C125,卡牌图鉴!$C$2:$C$53,0))</f>
        <v>5</v>
      </c>
      <c r="L125" s="15">
        <f>INDEX(卡牌图鉴!$H$2:$H$53,MATCH(monster!C125,卡牌图鉴!$C$2:$C$53,0))</f>
        <v>1.4</v>
      </c>
      <c r="M125" s="15">
        <f>INDEX(卡牌图鉴!$L$2:$L$53,MATCH(monster!C125,卡牌图鉴!$C$2:$C$53,0))</f>
        <v>3</v>
      </c>
      <c r="N125" s="15">
        <f>INDEX(卡牌图鉴!$AD$2:$AD$53,MATCH(monster!C125,卡牌图鉴!$C$2:$C$53,0))</f>
        <v>8</v>
      </c>
      <c r="O125" s="78">
        <f>INDEX(卡牌图鉴!$K$2:$K$53,MATCH(monster!C125,卡牌图鉴!$C$2:$C$53,0))</f>
        <v>3</v>
      </c>
    </row>
    <row r="126" spans="1:15" x14ac:dyDescent="0.15">
      <c r="A126" s="31">
        <v>1531</v>
      </c>
      <c r="B126" s="31" t="s">
        <v>561</v>
      </c>
      <c r="C126" s="31">
        <v>1528</v>
      </c>
      <c r="D126" s="15">
        <f>INDEX(卡牌图鉴!$S$2:$S$53,MATCH(monster!C126,卡牌图鉴!$C$2:$C$53,0))</f>
        <v>5</v>
      </c>
      <c r="E126" s="31">
        <v>3</v>
      </c>
      <c r="F126" s="15">
        <f>INT(INDEX(卡牌图鉴!$AB$2:$AB$53,MATCH(monster!C126,卡牌图鉴!$C$2:$C$57,0)) * INDEX(数值规划表!$B$61:$B$71,monster!E126+1) * 血量调整)</f>
        <v>580</v>
      </c>
      <c r="G126" s="15">
        <f>ROUND(INDEX(卡牌图鉴!$AB$2:$AB$53,MATCH(monster!C126,卡牌图鉴!$C$2:$C$57,0)) * INDEX(数值规划表!$D$61:$D$71,monster!E126+1)*血量调整,2)</f>
        <v>17.41</v>
      </c>
      <c r="H126" s="15">
        <f>ROUND(INDEX(卡牌图鉴!$AA$2:$AA$53,MATCH(monster!C126,卡牌图鉴!$C$2:$C$53,0)) * INDEX(数值规划表!$C$61:$C$71,monster!E126+1),2)</f>
        <v>101.83</v>
      </c>
      <c r="I126" s="15">
        <f>ROUND(INDEX(卡牌图鉴!$AA$2:$AA$53,MATCH(monster!C126,卡牌图鉴!$C$2:$C$53,0)) * INDEX(数值规划表!$E$61:$E$71,monster!E126+1),2)</f>
        <v>3.05</v>
      </c>
      <c r="J126" s="15">
        <f>INDEX(卡牌图鉴!$J$2:$J$53,MATCH(monster!C126,卡牌图鉴!$C$2:$C$53,0))</f>
        <v>1.2</v>
      </c>
      <c r="K126" s="15">
        <f>INDEX(卡牌图鉴!$S$2:$S$53,MATCH(monster!C126,卡牌图鉴!$C$2:$C$53,0))</f>
        <v>5</v>
      </c>
      <c r="L126" s="15">
        <f>INDEX(卡牌图鉴!$H$2:$H$53,MATCH(monster!C126,卡牌图鉴!$C$2:$C$53,0))</f>
        <v>1.4</v>
      </c>
      <c r="M126" s="15">
        <f>INDEX(卡牌图鉴!$L$2:$L$53,MATCH(monster!C126,卡牌图鉴!$C$2:$C$53,0))</f>
        <v>3</v>
      </c>
      <c r="N126" s="15">
        <f>INDEX(卡牌图鉴!$AD$2:$AD$53,MATCH(monster!C126,卡牌图鉴!$C$2:$C$53,0))</f>
        <v>8</v>
      </c>
      <c r="O126" s="78">
        <f>INDEX(卡牌图鉴!$K$2:$K$53,MATCH(monster!C126,卡牌图鉴!$C$2:$C$53,0))</f>
        <v>3</v>
      </c>
    </row>
    <row r="127" spans="1:15" x14ac:dyDescent="0.15">
      <c r="A127" s="31">
        <v>1532</v>
      </c>
      <c r="B127" s="31" t="s">
        <v>562</v>
      </c>
      <c r="C127" s="31">
        <v>1528</v>
      </c>
      <c r="D127" s="15">
        <f>INDEX(卡牌图鉴!$S$2:$S$53,MATCH(monster!C127,卡牌图鉴!$C$2:$C$53,0))</f>
        <v>5</v>
      </c>
      <c r="E127" s="31">
        <v>4</v>
      </c>
      <c r="F127" s="15">
        <f>INT(INDEX(卡牌图鉴!$AB$2:$AB$53,MATCH(monster!C127,卡牌图鉴!$C$2:$C$57,0)) * INDEX(数值规划表!$B$61:$B$71,monster!E127+1) * 血量调整)</f>
        <v>650</v>
      </c>
      <c r="G127" s="15">
        <f>ROUND(INDEX(卡牌图鉴!$AB$2:$AB$53,MATCH(monster!C127,卡牌图鉴!$C$2:$C$57,0)) * INDEX(数值规划表!$D$61:$D$71,monster!E127+1)*血量调整,2)</f>
        <v>19.5</v>
      </c>
      <c r="H127" s="15">
        <f>ROUND(INDEX(卡牌图鉴!$AA$2:$AA$53,MATCH(monster!C127,卡牌图鉴!$C$2:$C$53,0)) * INDEX(数值规划表!$C$61:$C$71,monster!E127+1),2)</f>
        <v>114.05</v>
      </c>
      <c r="I127" s="15">
        <f>ROUND(INDEX(卡牌图鉴!$AA$2:$AA$53,MATCH(monster!C127,卡牌图鉴!$C$2:$C$53,0)) * INDEX(数值规划表!$E$61:$E$71,monster!E127+1),2)</f>
        <v>3.42</v>
      </c>
      <c r="J127" s="15">
        <f>INDEX(卡牌图鉴!$J$2:$J$53,MATCH(monster!C127,卡牌图鉴!$C$2:$C$53,0))</f>
        <v>1.2</v>
      </c>
      <c r="K127" s="15">
        <f>INDEX(卡牌图鉴!$S$2:$S$53,MATCH(monster!C127,卡牌图鉴!$C$2:$C$53,0))</f>
        <v>5</v>
      </c>
      <c r="L127" s="15">
        <f>INDEX(卡牌图鉴!$H$2:$H$53,MATCH(monster!C127,卡牌图鉴!$C$2:$C$53,0))</f>
        <v>1.4</v>
      </c>
      <c r="M127" s="15">
        <f>INDEX(卡牌图鉴!$L$2:$L$53,MATCH(monster!C127,卡牌图鉴!$C$2:$C$53,0))</f>
        <v>3</v>
      </c>
      <c r="N127" s="15">
        <f>INDEX(卡牌图鉴!$AD$2:$AD$53,MATCH(monster!C127,卡牌图鉴!$C$2:$C$53,0))</f>
        <v>8</v>
      </c>
      <c r="O127" s="78">
        <f>INDEX(卡牌图鉴!$K$2:$K$53,MATCH(monster!C127,卡牌图鉴!$C$2:$C$53,0))</f>
        <v>3</v>
      </c>
    </row>
    <row r="128" spans="1:15" x14ac:dyDescent="0.15">
      <c r="A128" s="31">
        <v>1533</v>
      </c>
      <c r="B128" s="31" t="s">
        <v>563</v>
      </c>
      <c r="C128" s="31">
        <v>1528</v>
      </c>
      <c r="D128" s="15">
        <f>INDEX(卡牌图鉴!$S$2:$S$53,MATCH(monster!C128,卡牌图鉴!$C$2:$C$53,0))</f>
        <v>5</v>
      </c>
      <c r="E128" s="31">
        <v>5</v>
      </c>
      <c r="F128" s="15">
        <f>INT(INDEX(卡牌图鉴!$AB$2:$AB$53,MATCH(monster!C128,卡牌图鉴!$C$2:$C$57,0)) * INDEX(数值规划表!$B$61:$B$71,monster!E128+1) * 血量调整)</f>
        <v>728</v>
      </c>
      <c r="G128" s="15">
        <f>ROUND(INDEX(卡牌图鉴!$AB$2:$AB$53,MATCH(monster!C128,卡牌图鉴!$C$2:$C$57,0)) * INDEX(数值规划表!$D$61:$D$71,monster!E128+1)*血量调整,2)</f>
        <v>21.84</v>
      </c>
      <c r="H128" s="15">
        <f>ROUND(INDEX(卡牌图鉴!$AA$2:$AA$53,MATCH(monster!C128,卡牌图鉴!$C$2:$C$53,0)) * INDEX(数值规划表!$C$61:$C$71,monster!E128+1),2)</f>
        <v>127.73</v>
      </c>
      <c r="I128" s="15">
        <f>ROUND(INDEX(卡牌图鉴!$AA$2:$AA$53,MATCH(monster!C128,卡牌图鉴!$C$2:$C$53,0)) * INDEX(数值规划表!$E$61:$E$71,monster!E128+1),2)</f>
        <v>3.83</v>
      </c>
      <c r="J128" s="15">
        <f>INDEX(卡牌图鉴!$J$2:$J$53,MATCH(monster!C128,卡牌图鉴!$C$2:$C$53,0))</f>
        <v>1.2</v>
      </c>
      <c r="K128" s="15">
        <f>INDEX(卡牌图鉴!$S$2:$S$53,MATCH(monster!C128,卡牌图鉴!$C$2:$C$53,0))</f>
        <v>5</v>
      </c>
      <c r="L128" s="15">
        <f>INDEX(卡牌图鉴!$H$2:$H$53,MATCH(monster!C128,卡牌图鉴!$C$2:$C$53,0))</f>
        <v>1.4</v>
      </c>
      <c r="M128" s="15">
        <f>INDEX(卡牌图鉴!$L$2:$L$53,MATCH(monster!C128,卡牌图鉴!$C$2:$C$53,0))</f>
        <v>3</v>
      </c>
      <c r="N128" s="15">
        <f>INDEX(卡牌图鉴!$AD$2:$AD$53,MATCH(monster!C128,卡牌图鉴!$C$2:$C$53,0))</f>
        <v>8</v>
      </c>
      <c r="O128" s="78">
        <f>INDEX(卡牌图鉴!$K$2:$K$53,MATCH(monster!C128,卡牌图鉴!$C$2:$C$53,0))</f>
        <v>3</v>
      </c>
    </row>
    <row r="129" spans="1:15" x14ac:dyDescent="0.15">
      <c r="A129" s="31">
        <v>1534</v>
      </c>
      <c r="B129" s="31" t="s">
        <v>564</v>
      </c>
      <c r="C129" s="31">
        <v>1528</v>
      </c>
      <c r="D129" s="15">
        <f>INDEX(卡牌图鉴!$S$2:$S$53,MATCH(monster!C129,卡牌图鉴!$C$2:$C$53,0))</f>
        <v>5</v>
      </c>
      <c r="E129" s="31">
        <v>6</v>
      </c>
      <c r="F129" s="15">
        <f>INT(INDEX(卡牌图鉴!$AB$2:$AB$53,MATCH(monster!C129,卡牌图鉴!$C$2:$C$57,0)) * INDEX(数值规划表!$B$61:$B$71,monster!E129+1) * 血量调整)</f>
        <v>815</v>
      </c>
      <c r="G129" s="15">
        <f>ROUND(INDEX(卡牌图鉴!$AB$2:$AB$53,MATCH(monster!C129,卡牌图鉴!$C$2:$C$57,0)) * INDEX(数值规划表!$D$61:$D$71,monster!E129+1)*血量调整,2)</f>
        <v>24.46</v>
      </c>
      <c r="H129" s="15">
        <f>ROUND(INDEX(卡牌图鉴!$AA$2:$AA$53,MATCH(monster!C129,卡牌图鉴!$C$2:$C$53,0)) * INDEX(数值规划表!$C$61:$C$71,monster!E129+1),2)</f>
        <v>143.06</v>
      </c>
      <c r="I129" s="15">
        <f>ROUND(INDEX(卡牌图鉴!$AA$2:$AA$53,MATCH(monster!C129,卡牌图鉴!$C$2:$C$53,0)) * INDEX(数值规划表!$E$61:$E$71,monster!E129+1),2)</f>
        <v>4.29</v>
      </c>
      <c r="J129" s="15">
        <f>INDEX(卡牌图鉴!$J$2:$J$53,MATCH(monster!C129,卡牌图鉴!$C$2:$C$53,0))</f>
        <v>1.2</v>
      </c>
      <c r="K129" s="15">
        <f>INDEX(卡牌图鉴!$S$2:$S$53,MATCH(monster!C129,卡牌图鉴!$C$2:$C$53,0))</f>
        <v>5</v>
      </c>
      <c r="L129" s="15">
        <f>INDEX(卡牌图鉴!$H$2:$H$53,MATCH(monster!C129,卡牌图鉴!$C$2:$C$53,0))</f>
        <v>1.4</v>
      </c>
      <c r="M129" s="15">
        <f>INDEX(卡牌图鉴!$L$2:$L$53,MATCH(monster!C129,卡牌图鉴!$C$2:$C$53,0))</f>
        <v>3</v>
      </c>
      <c r="N129" s="15">
        <f>INDEX(卡牌图鉴!$AD$2:$AD$53,MATCH(monster!C129,卡牌图鉴!$C$2:$C$53,0))</f>
        <v>8</v>
      </c>
      <c r="O129" s="78">
        <f>INDEX(卡牌图鉴!$K$2:$K$53,MATCH(monster!C129,卡牌图鉴!$C$2:$C$53,0))</f>
        <v>3</v>
      </c>
    </row>
    <row r="130" spans="1:15" x14ac:dyDescent="0.15">
      <c r="A130" s="31">
        <v>1535</v>
      </c>
      <c r="B130" s="31" t="s">
        <v>565</v>
      </c>
      <c r="C130" s="31">
        <v>1528</v>
      </c>
      <c r="D130" s="15">
        <f>INDEX(卡牌图鉴!$S$2:$S$53,MATCH(monster!C130,卡牌图鉴!$C$2:$C$53,0))</f>
        <v>5</v>
      </c>
      <c r="E130" s="31">
        <v>7</v>
      </c>
      <c r="F130" s="15">
        <f>INT(INDEX(卡牌图鉴!$AB$2:$AB$53,MATCH(monster!C130,卡牌图鉴!$C$2:$C$57,0)) * INDEX(数值规划表!$B$61:$B$71,monster!E130+1) * 血量调整)</f>
        <v>913</v>
      </c>
      <c r="G130" s="15">
        <f>ROUND(INDEX(卡牌图鉴!$AB$2:$AB$53,MATCH(monster!C130,卡牌图鉴!$C$2:$C$57,0)) * INDEX(数值规划表!$D$61:$D$71,monster!E130+1)*血量调整,2)</f>
        <v>27.4</v>
      </c>
      <c r="H130" s="15">
        <f>ROUND(INDEX(卡牌图鉴!$AA$2:$AA$53,MATCH(monster!C130,卡牌图鉴!$C$2:$C$53,0)) * INDEX(数值规划表!$C$61:$C$71,monster!E130+1),2)</f>
        <v>160.22999999999999</v>
      </c>
      <c r="I130" s="15">
        <f>ROUND(INDEX(卡牌图鉴!$AA$2:$AA$53,MATCH(monster!C130,卡牌图鉴!$C$2:$C$53,0)) * INDEX(数值规划表!$E$61:$E$71,monster!E130+1),2)</f>
        <v>4.8099999999999996</v>
      </c>
      <c r="J130" s="15">
        <f>INDEX(卡牌图鉴!$J$2:$J$53,MATCH(monster!C130,卡牌图鉴!$C$2:$C$53,0))</f>
        <v>1.2</v>
      </c>
      <c r="K130" s="15">
        <f>INDEX(卡牌图鉴!$S$2:$S$53,MATCH(monster!C130,卡牌图鉴!$C$2:$C$53,0))</f>
        <v>5</v>
      </c>
      <c r="L130" s="15">
        <f>INDEX(卡牌图鉴!$H$2:$H$53,MATCH(monster!C130,卡牌图鉴!$C$2:$C$53,0))</f>
        <v>1.4</v>
      </c>
      <c r="M130" s="15">
        <f>INDEX(卡牌图鉴!$L$2:$L$53,MATCH(monster!C130,卡牌图鉴!$C$2:$C$53,0))</f>
        <v>3</v>
      </c>
      <c r="N130" s="15">
        <f>INDEX(卡牌图鉴!$AD$2:$AD$53,MATCH(monster!C130,卡牌图鉴!$C$2:$C$53,0))</f>
        <v>8</v>
      </c>
      <c r="O130" s="78">
        <f>INDEX(卡牌图鉴!$K$2:$K$53,MATCH(monster!C130,卡牌图鉴!$C$2:$C$53,0))</f>
        <v>3</v>
      </c>
    </row>
    <row r="131" spans="1:15" x14ac:dyDescent="0.15">
      <c r="A131" s="31">
        <v>1536</v>
      </c>
      <c r="B131" s="31" t="s">
        <v>566</v>
      </c>
      <c r="C131" s="31">
        <v>1528</v>
      </c>
      <c r="D131" s="15">
        <f>INDEX(卡牌图鉴!$S$2:$S$53,MATCH(monster!C131,卡牌图鉴!$C$2:$C$53,0))</f>
        <v>5</v>
      </c>
      <c r="E131" s="31">
        <v>8</v>
      </c>
      <c r="F131" s="15">
        <f>INT(INDEX(卡牌图鉴!$AB$2:$AB$53,MATCH(monster!C131,卡牌图鉴!$C$2:$C$57,0)) * INDEX(数值规划表!$B$61:$B$71,monster!E131+1) * 血量调整)</f>
        <v>1022</v>
      </c>
      <c r="G131" s="15">
        <f>ROUND(INDEX(卡牌图鉴!$AB$2:$AB$53,MATCH(monster!C131,卡牌图鉴!$C$2:$C$57,0)) * INDEX(数值规划表!$D$61:$D$71,monster!E131+1)*血量调整,2)</f>
        <v>30.69</v>
      </c>
      <c r="H131" s="15">
        <f>ROUND(INDEX(卡牌图鉴!$AA$2:$AA$53,MATCH(monster!C131,卡牌图鉴!$C$2:$C$53,0)) * INDEX(数值规划表!$C$61:$C$71,monster!E131+1),2)</f>
        <v>179.46</v>
      </c>
      <c r="I131" s="15">
        <f>ROUND(INDEX(卡牌图鉴!$AA$2:$AA$53,MATCH(monster!C131,卡牌图鉴!$C$2:$C$53,0)) * INDEX(数值规划表!$E$61:$E$71,monster!E131+1),2)</f>
        <v>5.38</v>
      </c>
      <c r="J131" s="15">
        <f>INDEX(卡牌图鉴!$J$2:$J$53,MATCH(monster!C131,卡牌图鉴!$C$2:$C$53,0))</f>
        <v>1.2</v>
      </c>
      <c r="K131" s="15">
        <f>INDEX(卡牌图鉴!$S$2:$S$53,MATCH(monster!C131,卡牌图鉴!$C$2:$C$53,0))</f>
        <v>5</v>
      </c>
      <c r="L131" s="15">
        <f>INDEX(卡牌图鉴!$H$2:$H$53,MATCH(monster!C131,卡牌图鉴!$C$2:$C$53,0))</f>
        <v>1.4</v>
      </c>
      <c r="M131" s="15">
        <f>INDEX(卡牌图鉴!$L$2:$L$53,MATCH(monster!C131,卡牌图鉴!$C$2:$C$53,0))</f>
        <v>3</v>
      </c>
      <c r="N131" s="15">
        <f>INDEX(卡牌图鉴!$AD$2:$AD$53,MATCH(monster!C131,卡牌图鉴!$C$2:$C$53,0))</f>
        <v>8</v>
      </c>
      <c r="O131" s="78">
        <f>INDEX(卡牌图鉴!$K$2:$K$53,MATCH(monster!C131,卡牌图鉴!$C$2:$C$53,0))</f>
        <v>3</v>
      </c>
    </row>
    <row r="132" spans="1:15" x14ac:dyDescent="0.15">
      <c r="A132" s="31">
        <v>1537</v>
      </c>
      <c r="B132" s="31" t="s">
        <v>567</v>
      </c>
      <c r="C132" s="31">
        <v>1528</v>
      </c>
      <c r="D132" s="15">
        <f>INDEX(卡牌图鉴!$S$2:$S$53,MATCH(monster!C132,卡牌图鉴!$C$2:$C$53,0))</f>
        <v>5</v>
      </c>
      <c r="E132" s="31">
        <v>9</v>
      </c>
      <c r="F132" s="15">
        <f>INT(INDEX(卡牌图鉴!$AB$2:$AB$53,MATCH(monster!C132,卡牌图鉴!$C$2:$C$57,0)) * INDEX(数值规划表!$B$61:$B$71,monster!E132+1) * 血量调整)</f>
        <v>1145</v>
      </c>
      <c r="G132" s="15">
        <f>ROUND(INDEX(卡牌图鉴!$AB$2:$AB$53,MATCH(monster!C132,卡牌图鉴!$C$2:$C$57,0)) * INDEX(数值规划表!$D$61:$D$71,monster!E132+1)*血量调整,2)</f>
        <v>34.369999999999997</v>
      </c>
      <c r="H132" s="15">
        <f>ROUND(INDEX(卡牌图鉴!$AA$2:$AA$53,MATCH(monster!C132,卡牌图鉴!$C$2:$C$53,0)) * INDEX(数值规划表!$C$61:$C$71,monster!E132+1),2)</f>
        <v>200.99</v>
      </c>
      <c r="I132" s="15">
        <f>ROUND(INDEX(卡牌图鉴!$AA$2:$AA$53,MATCH(monster!C132,卡牌图鉴!$C$2:$C$53,0)) * INDEX(数值规划表!$E$61:$E$71,monster!E132+1),2)</f>
        <v>6.03</v>
      </c>
      <c r="J132" s="15">
        <f>INDEX(卡牌图鉴!$J$2:$J$53,MATCH(monster!C132,卡牌图鉴!$C$2:$C$53,0))</f>
        <v>1.2</v>
      </c>
      <c r="K132" s="15">
        <f>INDEX(卡牌图鉴!$S$2:$S$53,MATCH(monster!C132,卡牌图鉴!$C$2:$C$53,0))</f>
        <v>5</v>
      </c>
      <c r="L132" s="15">
        <f>INDEX(卡牌图鉴!$H$2:$H$53,MATCH(monster!C132,卡牌图鉴!$C$2:$C$53,0))</f>
        <v>1.4</v>
      </c>
      <c r="M132" s="15">
        <f>INDEX(卡牌图鉴!$L$2:$L$53,MATCH(monster!C132,卡牌图鉴!$C$2:$C$53,0))</f>
        <v>3</v>
      </c>
      <c r="N132" s="15">
        <f>INDEX(卡牌图鉴!$AD$2:$AD$53,MATCH(monster!C132,卡牌图鉴!$C$2:$C$53,0))</f>
        <v>8</v>
      </c>
      <c r="O132" s="78">
        <f>INDEX(卡牌图鉴!$K$2:$K$53,MATCH(monster!C132,卡牌图鉴!$C$2:$C$53,0))</f>
        <v>3</v>
      </c>
    </row>
    <row r="133" spans="1:15" x14ac:dyDescent="0.15">
      <c r="A133" s="31">
        <v>1538</v>
      </c>
      <c r="B133" s="31" t="s">
        <v>568</v>
      </c>
      <c r="C133" s="31">
        <v>1528</v>
      </c>
      <c r="D133" s="15">
        <f>INDEX(卡牌图鉴!$S$2:$S$53,MATCH(monster!C133,卡牌图鉴!$C$2:$C$53,0))</f>
        <v>5</v>
      </c>
      <c r="E133" s="31">
        <v>10</v>
      </c>
      <c r="F133" s="15">
        <f>INT(INDEX(卡牌图鉴!$AB$2:$AB$53,MATCH(monster!C133,卡牌图鉴!$C$2:$C$57,0)) * INDEX(数值规划表!$B$61:$B$71,monster!E133+1) * 血量调整)</f>
        <v>1283</v>
      </c>
      <c r="G133" s="15">
        <f>ROUND(INDEX(卡牌图鉴!$AB$2:$AB$53,MATCH(monster!C133,卡牌图鉴!$C$2:$C$57,0)) * INDEX(数值规划表!$D$61:$D$71,monster!E133+1)*血量调整,2)</f>
        <v>38.49</v>
      </c>
      <c r="H133" s="15">
        <f>ROUND(INDEX(卡牌图鉴!$AA$2:$AA$53,MATCH(monster!C133,卡牌图鉴!$C$2:$C$53,0)) * INDEX(数值规划表!$C$61:$C$71,monster!E133+1),2)</f>
        <v>225.11</v>
      </c>
      <c r="I133" s="15">
        <f>ROUND(INDEX(卡牌图鉴!$AA$2:$AA$53,MATCH(monster!C133,卡牌图鉴!$C$2:$C$53,0)) * INDEX(数值规划表!$E$61:$E$71,monster!E133+1),2)</f>
        <v>6.75</v>
      </c>
      <c r="J133" s="15">
        <f>INDEX(卡牌图鉴!$J$2:$J$53,MATCH(monster!C133,卡牌图鉴!$C$2:$C$53,0))</f>
        <v>1.2</v>
      </c>
      <c r="K133" s="15">
        <f>INDEX(卡牌图鉴!$S$2:$S$53,MATCH(monster!C133,卡牌图鉴!$C$2:$C$53,0))</f>
        <v>5</v>
      </c>
      <c r="L133" s="15">
        <f>INDEX(卡牌图鉴!$H$2:$H$53,MATCH(monster!C133,卡牌图鉴!$C$2:$C$53,0))</f>
        <v>1.4</v>
      </c>
      <c r="M133" s="15">
        <f>INDEX(卡牌图鉴!$L$2:$L$53,MATCH(monster!C133,卡牌图鉴!$C$2:$C$53,0))</f>
        <v>3</v>
      </c>
      <c r="N133" s="15">
        <f>INDEX(卡牌图鉴!$AD$2:$AD$53,MATCH(monster!C133,卡牌图鉴!$C$2:$C$53,0))</f>
        <v>8</v>
      </c>
      <c r="O133" s="78">
        <f>INDEX(卡牌图鉴!$K$2:$K$53,MATCH(monster!C133,卡牌图鉴!$C$2:$C$53,0))</f>
        <v>3</v>
      </c>
    </row>
    <row r="134" spans="1:15" x14ac:dyDescent="0.15">
      <c r="A134" s="31">
        <v>1012</v>
      </c>
      <c r="B134" s="31" t="s">
        <v>1432</v>
      </c>
      <c r="C134" s="31">
        <v>1012</v>
      </c>
      <c r="D134" s="15">
        <f>INDEX(卡牌图鉴!$S$2:$S$53,MATCH(monster!C134,卡牌图鉴!$C$2:$C$53,0))</f>
        <v>3</v>
      </c>
      <c r="E134" s="31">
        <v>0</v>
      </c>
      <c r="F134" s="15">
        <f>INT(INDEX(卡牌图鉴!$AB$2:$AB$53,MATCH(monster!C134,卡牌图鉴!$C$2:$C$57,0)) * INDEX(数值规划表!$B$61:$B$71,monster!E134+1) * 血量调整)</f>
        <v>524</v>
      </c>
      <c r="G134" s="15">
        <f>ROUND(INDEX(卡牌图鉴!$AB$2:$AB$53,MATCH(monster!C134,卡牌图鉴!$C$2:$C$57,0)) * INDEX(数值规划表!$D$61:$D$71,monster!E134+1)*血量调整,2)</f>
        <v>15.75</v>
      </c>
      <c r="H134" s="15">
        <f>ROUND(INDEX(卡牌图鉴!$AA$2:$AA$53,MATCH(monster!C134,卡牌图鉴!$C$2:$C$53,0)) * INDEX(数值规划表!$C$61:$C$71,monster!E134+1),2)</f>
        <v>27.14</v>
      </c>
      <c r="I134" s="15">
        <f>ROUND(INDEX(卡牌图鉴!$AA$2:$AA$53,MATCH(monster!C134,卡牌图鉴!$C$2:$C$53,0)) * INDEX(数值规划表!$E$61:$E$71,monster!E134+1),2)</f>
        <v>0.81</v>
      </c>
      <c r="J134" s="15">
        <f>INDEX(卡牌图鉴!$J$2:$J$53,MATCH(monster!C134,卡牌图鉴!$C$2:$C$53,0))</f>
        <v>4</v>
      </c>
      <c r="K134" s="15">
        <f>INDEX(卡牌图鉴!$S$2:$S$53,MATCH(monster!C134,卡牌图鉴!$C$2:$C$53,0))</f>
        <v>3</v>
      </c>
      <c r="L134" s="15">
        <f>INDEX(卡牌图鉴!$H$2:$H$53,MATCH(monster!C134,卡牌图鉴!$C$2:$C$53,0))</f>
        <v>0.8</v>
      </c>
      <c r="M134" s="15">
        <f>INDEX(卡牌图鉴!$L$2:$L$53,MATCH(monster!C134,卡牌图鉴!$C$2:$C$53,0))</f>
        <v>3</v>
      </c>
      <c r="N134" s="15">
        <f>INDEX(卡牌图鉴!$AD$2:$AD$53,MATCH(monster!C134,卡牌图鉴!$C$2:$C$53,0))</f>
        <v>6</v>
      </c>
      <c r="O134" s="78">
        <f>INDEX(卡牌图鉴!$K$2:$K$53,MATCH(monster!C134,卡牌图鉴!$C$2:$C$53,0))</f>
        <v>3</v>
      </c>
    </row>
    <row r="135" spans="1:15" x14ac:dyDescent="0.15">
      <c r="A135" s="31">
        <v>1013</v>
      </c>
      <c r="B135" s="31" t="s">
        <v>1433</v>
      </c>
      <c r="C135" s="31">
        <v>1012</v>
      </c>
      <c r="D135" s="15">
        <f>INDEX(卡牌图鉴!$S$2:$S$53,MATCH(monster!C135,卡牌图鉴!$C$2:$C$53,0))</f>
        <v>3</v>
      </c>
      <c r="E135" s="31">
        <v>1</v>
      </c>
      <c r="F135" s="15">
        <f>INT(INDEX(卡牌图鉴!$AB$2:$AB$53,MATCH(monster!C135,卡牌图鉴!$C$2:$C$57,0)) * INDEX(数值规划表!$B$61:$B$71,monster!E135+1) * 血量调整)</f>
        <v>587</v>
      </c>
      <c r="G135" s="15">
        <f>ROUND(INDEX(卡牌图鉴!$AB$2:$AB$53,MATCH(monster!C135,卡牌图鉴!$C$2:$C$57,0)) * INDEX(数值规划表!$D$61:$D$71,monster!E135+1)*血量调整,2)</f>
        <v>17.63</v>
      </c>
      <c r="H135" s="15">
        <f>ROUND(INDEX(卡牌图鉴!$AA$2:$AA$53,MATCH(monster!C135,卡牌图鉴!$C$2:$C$53,0)) * INDEX(数值规划表!$C$61:$C$71,monster!E135+1),2)</f>
        <v>30.4</v>
      </c>
      <c r="I135" s="15">
        <f>ROUND(INDEX(卡牌图鉴!$AA$2:$AA$53,MATCH(monster!C135,卡牌图鉴!$C$2:$C$53,0)) * INDEX(数值规划表!$E$61:$E$71,monster!E135+1),2)</f>
        <v>0.91</v>
      </c>
      <c r="J135" s="15">
        <f>INDEX(卡牌图鉴!$J$2:$J$53,MATCH(monster!C135,卡牌图鉴!$C$2:$C$53,0))</f>
        <v>4</v>
      </c>
      <c r="K135" s="15">
        <f>INDEX(卡牌图鉴!$S$2:$S$53,MATCH(monster!C135,卡牌图鉴!$C$2:$C$53,0))</f>
        <v>3</v>
      </c>
      <c r="L135" s="15">
        <f>INDEX(卡牌图鉴!$H$2:$H$53,MATCH(monster!C135,卡牌图鉴!$C$2:$C$53,0))</f>
        <v>0.8</v>
      </c>
      <c r="M135" s="15">
        <f>INDEX(卡牌图鉴!$L$2:$L$53,MATCH(monster!C135,卡牌图鉴!$C$2:$C$53,0))</f>
        <v>3</v>
      </c>
      <c r="N135" s="15">
        <f>INDEX(卡牌图鉴!$AD$2:$AD$53,MATCH(monster!C135,卡牌图鉴!$C$2:$C$53,0))</f>
        <v>6</v>
      </c>
      <c r="O135" s="78">
        <f>INDEX(卡牌图鉴!$K$2:$K$53,MATCH(monster!C135,卡牌图鉴!$C$2:$C$53,0))</f>
        <v>3</v>
      </c>
    </row>
    <row r="136" spans="1:15" x14ac:dyDescent="0.15">
      <c r="A136" s="31">
        <v>1014</v>
      </c>
      <c r="B136" s="31" t="s">
        <v>1434</v>
      </c>
      <c r="C136" s="31">
        <v>1012</v>
      </c>
      <c r="D136" s="15">
        <f>INDEX(卡牌图鉴!$S$2:$S$53,MATCH(monster!C136,卡牌图鉴!$C$2:$C$53,0))</f>
        <v>3</v>
      </c>
      <c r="E136" s="31">
        <v>2</v>
      </c>
      <c r="F136" s="15">
        <f>INT(INDEX(卡牌图鉴!$AB$2:$AB$53,MATCH(monster!C136,卡牌图鉴!$C$2:$C$57,0)) * INDEX(数值规划表!$B$61:$B$71,monster!E136+1) * 血量调整)</f>
        <v>658</v>
      </c>
      <c r="G136" s="15">
        <f>ROUND(INDEX(卡牌图鉴!$AB$2:$AB$53,MATCH(monster!C136,卡牌图鉴!$C$2:$C$57,0)) * INDEX(数值规划表!$D$61:$D$71,monster!E136+1)*血量调整,2)</f>
        <v>19.75</v>
      </c>
      <c r="H136" s="15">
        <f>ROUND(INDEX(卡牌图鉴!$AA$2:$AA$53,MATCH(monster!C136,卡牌图鉴!$C$2:$C$53,0)) * INDEX(数值规划表!$C$61:$C$71,monster!E136+1),2)</f>
        <v>34.04</v>
      </c>
      <c r="I136" s="15">
        <f>ROUND(INDEX(卡牌图鉴!$AA$2:$AA$53,MATCH(monster!C136,卡牌图鉴!$C$2:$C$53,0)) * INDEX(数值规划表!$E$61:$E$71,monster!E136+1),2)</f>
        <v>1.02</v>
      </c>
      <c r="J136" s="15">
        <f>INDEX(卡牌图鉴!$J$2:$J$53,MATCH(monster!C136,卡牌图鉴!$C$2:$C$53,0))</f>
        <v>4</v>
      </c>
      <c r="K136" s="15">
        <f>INDEX(卡牌图鉴!$S$2:$S$53,MATCH(monster!C136,卡牌图鉴!$C$2:$C$53,0))</f>
        <v>3</v>
      </c>
      <c r="L136" s="15">
        <f>INDEX(卡牌图鉴!$H$2:$H$53,MATCH(monster!C136,卡牌图鉴!$C$2:$C$53,0))</f>
        <v>0.8</v>
      </c>
      <c r="M136" s="15">
        <f>INDEX(卡牌图鉴!$L$2:$L$53,MATCH(monster!C136,卡牌图鉴!$C$2:$C$53,0))</f>
        <v>3</v>
      </c>
      <c r="N136" s="15">
        <f>INDEX(卡牌图鉴!$AD$2:$AD$53,MATCH(monster!C136,卡牌图鉴!$C$2:$C$53,0))</f>
        <v>6</v>
      </c>
      <c r="O136" s="78">
        <f>INDEX(卡牌图鉴!$K$2:$K$53,MATCH(monster!C136,卡牌图鉴!$C$2:$C$53,0))</f>
        <v>3</v>
      </c>
    </row>
    <row r="137" spans="1:15" x14ac:dyDescent="0.15">
      <c r="A137" s="31">
        <v>1015</v>
      </c>
      <c r="B137" s="31" t="s">
        <v>161</v>
      </c>
      <c r="C137" s="31">
        <v>1012</v>
      </c>
      <c r="D137" s="15">
        <f>INDEX(卡牌图鉴!$S$2:$S$53,MATCH(monster!C137,卡牌图鉴!$C$2:$C$53,0))</f>
        <v>3</v>
      </c>
      <c r="E137" s="31">
        <v>3</v>
      </c>
      <c r="F137" s="15">
        <f>INT(INDEX(卡牌图鉴!$AB$2:$AB$53,MATCH(monster!C137,卡牌图鉴!$C$2:$C$57,0)) * INDEX(数值规划表!$B$61:$B$71,monster!E137+1) * 血量调整)</f>
        <v>737</v>
      </c>
      <c r="G137" s="15">
        <f>ROUND(INDEX(卡牌图鉴!$AB$2:$AB$53,MATCH(monster!C137,卡牌图鉴!$C$2:$C$57,0)) * INDEX(数值规划表!$D$61:$D$71,monster!E137+1)*血量调整,2)</f>
        <v>22.12</v>
      </c>
      <c r="H137" s="15">
        <f>ROUND(INDEX(卡牌图鉴!$AA$2:$AA$53,MATCH(monster!C137,卡牌图鉴!$C$2:$C$53,0)) * INDEX(数值规划表!$C$61:$C$71,monster!E137+1),2)</f>
        <v>38.130000000000003</v>
      </c>
      <c r="I137" s="15">
        <f>ROUND(INDEX(卡牌图鉴!$AA$2:$AA$53,MATCH(monster!C137,卡牌图鉴!$C$2:$C$53,0)) * INDEX(数值规划表!$E$61:$E$71,monster!E137+1),2)</f>
        <v>1.1399999999999999</v>
      </c>
      <c r="J137" s="15">
        <f>INDEX(卡牌图鉴!$J$2:$J$53,MATCH(monster!C137,卡牌图鉴!$C$2:$C$53,0))</f>
        <v>4</v>
      </c>
      <c r="K137" s="15">
        <f>INDEX(卡牌图鉴!$S$2:$S$53,MATCH(monster!C137,卡牌图鉴!$C$2:$C$53,0))</f>
        <v>3</v>
      </c>
      <c r="L137" s="15">
        <f>INDEX(卡牌图鉴!$H$2:$H$53,MATCH(monster!C137,卡牌图鉴!$C$2:$C$53,0))</f>
        <v>0.8</v>
      </c>
      <c r="M137" s="15">
        <f>INDEX(卡牌图鉴!$L$2:$L$53,MATCH(monster!C137,卡牌图鉴!$C$2:$C$53,0))</f>
        <v>3</v>
      </c>
      <c r="N137" s="15">
        <f>INDEX(卡牌图鉴!$AD$2:$AD$53,MATCH(monster!C137,卡牌图鉴!$C$2:$C$53,0))</f>
        <v>6</v>
      </c>
      <c r="O137" s="78">
        <f>INDEX(卡牌图鉴!$K$2:$K$53,MATCH(monster!C137,卡牌图鉴!$C$2:$C$53,0))</f>
        <v>3</v>
      </c>
    </row>
    <row r="138" spans="1:15" x14ac:dyDescent="0.15">
      <c r="A138" s="31">
        <v>1016</v>
      </c>
      <c r="B138" s="31" t="s">
        <v>162</v>
      </c>
      <c r="C138" s="31">
        <v>1012</v>
      </c>
      <c r="D138" s="15">
        <f>INDEX(卡牌图鉴!$S$2:$S$53,MATCH(monster!C138,卡牌图鉴!$C$2:$C$53,0))</f>
        <v>3</v>
      </c>
      <c r="E138" s="31">
        <v>4</v>
      </c>
      <c r="F138" s="15">
        <f>INT(INDEX(卡牌图鉴!$AB$2:$AB$53,MATCH(monster!C138,卡牌图鉴!$C$2:$C$57,0)) * INDEX(数值规划表!$B$61:$B$71,monster!E138+1) * 血量调整)</f>
        <v>825</v>
      </c>
      <c r="G138" s="15">
        <f>ROUND(INDEX(卡牌图鉴!$AB$2:$AB$53,MATCH(monster!C138,卡牌图鉴!$C$2:$C$57,0)) * INDEX(数值规划表!$D$61:$D$71,monster!E138+1)*血量调整,2)</f>
        <v>24.78</v>
      </c>
      <c r="H138" s="15">
        <f>ROUND(INDEX(卡牌图鉴!$AA$2:$AA$53,MATCH(monster!C138,卡牌图鉴!$C$2:$C$53,0)) * INDEX(数值规划表!$C$61:$C$71,monster!E138+1),2)</f>
        <v>42.71</v>
      </c>
      <c r="I138" s="15">
        <f>ROUND(INDEX(卡牌图鉴!$AA$2:$AA$53,MATCH(monster!C138,卡牌图鉴!$C$2:$C$53,0)) * INDEX(数值规划表!$E$61:$E$71,monster!E138+1),2)</f>
        <v>1.28</v>
      </c>
      <c r="J138" s="15">
        <f>INDEX(卡牌图鉴!$J$2:$J$53,MATCH(monster!C138,卡牌图鉴!$C$2:$C$53,0))</f>
        <v>4</v>
      </c>
      <c r="K138" s="15">
        <f>INDEX(卡牌图鉴!$S$2:$S$53,MATCH(monster!C138,卡牌图鉴!$C$2:$C$53,0))</f>
        <v>3</v>
      </c>
      <c r="L138" s="15">
        <f>INDEX(卡牌图鉴!$H$2:$H$53,MATCH(monster!C138,卡牌图鉴!$C$2:$C$53,0))</f>
        <v>0.8</v>
      </c>
      <c r="M138" s="15">
        <f>INDEX(卡牌图鉴!$L$2:$L$53,MATCH(monster!C138,卡牌图鉴!$C$2:$C$53,0))</f>
        <v>3</v>
      </c>
      <c r="N138" s="15">
        <f>INDEX(卡牌图鉴!$AD$2:$AD$53,MATCH(monster!C138,卡牌图鉴!$C$2:$C$53,0))</f>
        <v>6</v>
      </c>
      <c r="O138" s="78">
        <f>INDEX(卡牌图鉴!$K$2:$K$53,MATCH(monster!C138,卡牌图鉴!$C$2:$C$53,0))</f>
        <v>3</v>
      </c>
    </row>
    <row r="139" spans="1:15" x14ac:dyDescent="0.15">
      <c r="A139" s="31">
        <v>1017</v>
      </c>
      <c r="B139" s="31" t="s">
        <v>163</v>
      </c>
      <c r="C139" s="31">
        <v>1012</v>
      </c>
      <c r="D139" s="15">
        <f>INDEX(卡牌图鉴!$S$2:$S$53,MATCH(monster!C139,卡牌图鉴!$C$2:$C$53,0))</f>
        <v>3</v>
      </c>
      <c r="E139" s="31">
        <v>5</v>
      </c>
      <c r="F139" s="15">
        <f>INT(INDEX(卡牌图鉴!$AB$2:$AB$53,MATCH(monster!C139,卡牌图鉴!$C$2:$C$57,0)) * INDEX(数值规划表!$B$61:$B$71,monster!E139+1) * 血量调整)</f>
        <v>924</v>
      </c>
      <c r="G139" s="15">
        <f>ROUND(INDEX(卡牌图鉴!$AB$2:$AB$53,MATCH(monster!C139,卡牌图鉴!$C$2:$C$57,0)) * INDEX(数值规划表!$D$61:$D$71,monster!E139+1)*血量调整,2)</f>
        <v>27.75</v>
      </c>
      <c r="H139" s="15">
        <f>ROUND(INDEX(卡牌图鉴!$AA$2:$AA$53,MATCH(monster!C139,卡牌图鉴!$C$2:$C$53,0)) * INDEX(数值规划表!$C$61:$C$71,monster!E139+1),2)</f>
        <v>47.83</v>
      </c>
      <c r="I139" s="15">
        <f>ROUND(INDEX(卡牌图鉴!$AA$2:$AA$53,MATCH(monster!C139,卡牌图鉴!$C$2:$C$53,0)) * INDEX(数值规划表!$E$61:$E$71,monster!E139+1),2)</f>
        <v>1.43</v>
      </c>
      <c r="J139" s="15">
        <f>INDEX(卡牌图鉴!$J$2:$J$53,MATCH(monster!C139,卡牌图鉴!$C$2:$C$53,0))</f>
        <v>4</v>
      </c>
      <c r="K139" s="15">
        <f>INDEX(卡牌图鉴!$S$2:$S$53,MATCH(monster!C139,卡牌图鉴!$C$2:$C$53,0))</f>
        <v>3</v>
      </c>
      <c r="L139" s="15">
        <f>INDEX(卡牌图鉴!$H$2:$H$53,MATCH(monster!C139,卡牌图鉴!$C$2:$C$53,0))</f>
        <v>0.8</v>
      </c>
      <c r="M139" s="15">
        <f>INDEX(卡牌图鉴!$L$2:$L$53,MATCH(monster!C139,卡牌图鉴!$C$2:$C$53,0))</f>
        <v>3</v>
      </c>
      <c r="N139" s="15">
        <f>INDEX(卡牌图鉴!$AD$2:$AD$53,MATCH(monster!C139,卡牌图鉴!$C$2:$C$53,0))</f>
        <v>6</v>
      </c>
      <c r="O139" s="78">
        <f>INDEX(卡牌图鉴!$K$2:$K$53,MATCH(monster!C139,卡牌图鉴!$C$2:$C$53,0))</f>
        <v>3</v>
      </c>
    </row>
    <row r="140" spans="1:15" x14ac:dyDescent="0.15">
      <c r="A140" s="31">
        <v>1018</v>
      </c>
      <c r="B140" s="31" t="s">
        <v>164</v>
      </c>
      <c r="C140" s="31">
        <v>1012</v>
      </c>
      <c r="D140" s="15">
        <f>INDEX(卡牌图鉴!$S$2:$S$53,MATCH(monster!C140,卡牌图鉴!$C$2:$C$53,0))</f>
        <v>3</v>
      </c>
      <c r="E140" s="31">
        <v>6</v>
      </c>
      <c r="F140" s="15">
        <f>INT(INDEX(卡牌图鉴!$AB$2:$AB$53,MATCH(monster!C140,卡牌图鉴!$C$2:$C$57,0)) * INDEX(数值规划表!$B$61:$B$71,monster!E140+1) * 血量调整)</f>
        <v>1035</v>
      </c>
      <c r="G140" s="15">
        <f>ROUND(INDEX(卡牌图鉴!$AB$2:$AB$53,MATCH(monster!C140,卡牌图鉴!$C$2:$C$57,0)) * INDEX(数值规划表!$D$61:$D$71,monster!E140+1)*血量调整,2)</f>
        <v>31.08</v>
      </c>
      <c r="H140" s="15">
        <f>ROUND(INDEX(卡牌图鉴!$AA$2:$AA$53,MATCH(monster!C140,卡牌图鉴!$C$2:$C$53,0)) * INDEX(数值规划表!$C$61:$C$71,monster!E140+1),2)</f>
        <v>53.57</v>
      </c>
      <c r="I140" s="15">
        <f>ROUND(INDEX(卡牌图鉴!$AA$2:$AA$53,MATCH(monster!C140,卡牌图鉴!$C$2:$C$53,0)) * INDEX(数值规划表!$E$61:$E$71,monster!E140+1),2)</f>
        <v>1.61</v>
      </c>
      <c r="J140" s="15">
        <f>INDEX(卡牌图鉴!$J$2:$J$53,MATCH(monster!C140,卡牌图鉴!$C$2:$C$53,0))</f>
        <v>4</v>
      </c>
      <c r="K140" s="15">
        <f>INDEX(卡牌图鉴!$S$2:$S$53,MATCH(monster!C140,卡牌图鉴!$C$2:$C$53,0))</f>
        <v>3</v>
      </c>
      <c r="L140" s="15">
        <f>INDEX(卡牌图鉴!$H$2:$H$53,MATCH(monster!C140,卡牌图鉴!$C$2:$C$53,0))</f>
        <v>0.8</v>
      </c>
      <c r="M140" s="15">
        <f>INDEX(卡牌图鉴!$L$2:$L$53,MATCH(monster!C140,卡牌图鉴!$C$2:$C$53,0))</f>
        <v>3</v>
      </c>
      <c r="N140" s="15">
        <f>INDEX(卡牌图鉴!$AD$2:$AD$53,MATCH(monster!C140,卡牌图鉴!$C$2:$C$53,0))</f>
        <v>6</v>
      </c>
      <c r="O140" s="78">
        <f>INDEX(卡牌图鉴!$K$2:$K$53,MATCH(monster!C140,卡牌图鉴!$C$2:$C$53,0))</f>
        <v>3</v>
      </c>
    </row>
    <row r="141" spans="1:15" x14ac:dyDescent="0.15">
      <c r="A141" s="31">
        <v>1019</v>
      </c>
      <c r="B141" s="31" t="s">
        <v>165</v>
      </c>
      <c r="C141" s="31">
        <v>1012</v>
      </c>
      <c r="D141" s="15">
        <f>INDEX(卡牌图鉴!$S$2:$S$53,MATCH(monster!C141,卡牌图鉴!$C$2:$C$53,0))</f>
        <v>3</v>
      </c>
      <c r="E141" s="31">
        <v>7</v>
      </c>
      <c r="F141" s="15">
        <f>INT(INDEX(卡牌图鉴!$AB$2:$AB$53,MATCH(monster!C141,卡牌图鉴!$C$2:$C$57,0)) * INDEX(数值规划表!$B$61:$B$71,monster!E141+1) * 血量调整)</f>
        <v>1160</v>
      </c>
      <c r="G141" s="15">
        <f>ROUND(INDEX(卡牌图鉴!$AB$2:$AB$53,MATCH(monster!C141,卡牌图鉴!$C$2:$C$57,0)) * INDEX(数值规划表!$D$61:$D$71,monster!E141+1)*血量调整,2)</f>
        <v>34.81</v>
      </c>
      <c r="H141" s="15">
        <f>ROUND(INDEX(卡牌图鉴!$AA$2:$AA$53,MATCH(monster!C141,卡牌图鉴!$C$2:$C$53,0)) * INDEX(数值规划表!$C$61:$C$71,monster!E141+1),2)</f>
        <v>60</v>
      </c>
      <c r="I141" s="15">
        <f>ROUND(INDEX(卡牌图鉴!$AA$2:$AA$53,MATCH(monster!C141,卡牌图鉴!$C$2:$C$53,0)) * INDEX(数值规划表!$E$61:$E$71,monster!E141+1),2)</f>
        <v>1.8</v>
      </c>
      <c r="J141" s="15">
        <f>INDEX(卡牌图鉴!$J$2:$J$53,MATCH(monster!C141,卡牌图鉴!$C$2:$C$53,0))</f>
        <v>4</v>
      </c>
      <c r="K141" s="15">
        <f>INDEX(卡牌图鉴!$S$2:$S$53,MATCH(monster!C141,卡牌图鉴!$C$2:$C$53,0))</f>
        <v>3</v>
      </c>
      <c r="L141" s="15">
        <f>INDEX(卡牌图鉴!$H$2:$H$53,MATCH(monster!C141,卡牌图鉴!$C$2:$C$53,0))</f>
        <v>0.8</v>
      </c>
      <c r="M141" s="15">
        <f>INDEX(卡牌图鉴!$L$2:$L$53,MATCH(monster!C141,卡牌图鉴!$C$2:$C$53,0))</f>
        <v>3</v>
      </c>
      <c r="N141" s="15">
        <f>INDEX(卡牌图鉴!$AD$2:$AD$53,MATCH(monster!C141,卡牌图鉴!$C$2:$C$53,0))</f>
        <v>6</v>
      </c>
      <c r="O141" s="78">
        <f>INDEX(卡牌图鉴!$K$2:$K$53,MATCH(monster!C141,卡牌图鉴!$C$2:$C$53,0))</f>
        <v>3</v>
      </c>
    </row>
    <row r="142" spans="1:15" x14ac:dyDescent="0.15">
      <c r="A142" s="31">
        <v>1020</v>
      </c>
      <c r="B142" s="31" t="s">
        <v>166</v>
      </c>
      <c r="C142" s="31">
        <v>1012</v>
      </c>
      <c r="D142" s="15">
        <f>INDEX(卡牌图鉴!$S$2:$S$53,MATCH(monster!C142,卡牌图鉴!$C$2:$C$53,0))</f>
        <v>3</v>
      </c>
      <c r="E142" s="31">
        <v>8</v>
      </c>
      <c r="F142" s="15">
        <f>INT(INDEX(卡牌图鉴!$AB$2:$AB$53,MATCH(monster!C142,卡牌图鉴!$C$2:$C$57,0)) * INDEX(数值规划表!$B$61:$B$71,monster!E142+1) * 血量调整)</f>
        <v>1299</v>
      </c>
      <c r="G142" s="15">
        <f>ROUND(INDEX(卡牌图鉴!$AB$2:$AB$53,MATCH(monster!C142,卡牌图鉴!$C$2:$C$57,0)) * INDEX(数值规划表!$D$61:$D$71,monster!E142+1)*血量调整,2)</f>
        <v>38.99</v>
      </c>
      <c r="H142" s="15">
        <f>ROUND(INDEX(卡牌图鉴!$AA$2:$AA$53,MATCH(monster!C142,卡牌图鉴!$C$2:$C$53,0)) * INDEX(数值规划表!$C$61:$C$71,monster!E142+1),2)</f>
        <v>67.2</v>
      </c>
      <c r="I142" s="15">
        <f>ROUND(INDEX(卡牌图鉴!$AA$2:$AA$53,MATCH(monster!C142,卡牌图鉴!$C$2:$C$53,0)) * INDEX(数值规划表!$E$61:$E$71,monster!E142+1),2)</f>
        <v>2.02</v>
      </c>
      <c r="J142" s="15">
        <f>INDEX(卡牌图鉴!$J$2:$J$53,MATCH(monster!C142,卡牌图鉴!$C$2:$C$53,0))</f>
        <v>4</v>
      </c>
      <c r="K142" s="15">
        <f>INDEX(卡牌图鉴!$S$2:$S$53,MATCH(monster!C142,卡牌图鉴!$C$2:$C$53,0))</f>
        <v>3</v>
      </c>
      <c r="L142" s="15">
        <f>INDEX(卡牌图鉴!$H$2:$H$53,MATCH(monster!C142,卡牌图鉴!$C$2:$C$53,0))</f>
        <v>0.8</v>
      </c>
      <c r="M142" s="15">
        <f>INDEX(卡牌图鉴!$L$2:$L$53,MATCH(monster!C142,卡牌图鉴!$C$2:$C$53,0))</f>
        <v>3</v>
      </c>
      <c r="N142" s="15">
        <f>INDEX(卡牌图鉴!$AD$2:$AD$53,MATCH(monster!C142,卡牌图鉴!$C$2:$C$53,0))</f>
        <v>6</v>
      </c>
      <c r="O142" s="78">
        <f>INDEX(卡牌图鉴!$K$2:$K$53,MATCH(monster!C142,卡牌图鉴!$C$2:$C$53,0))</f>
        <v>3</v>
      </c>
    </row>
    <row r="143" spans="1:15" x14ac:dyDescent="0.15">
      <c r="A143" s="31">
        <v>1021</v>
      </c>
      <c r="B143" s="31" t="s">
        <v>167</v>
      </c>
      <c r="C143" s="31">
        <v>1012</v>
      </c>
      <c r="D143" s="15">
        <f>INDEX(卡牌图鉴!$S$2:$S$53,MATCH(monster!C143,卡牌图鉴!$C$2:$C$53,0))</f>
        <v>3</v>
      </c>
      <c r="E143" s="31">
        <v>9</v>
      </c>
      <c r="F143" s="15">
        <f>INT(INDEX(卡牌图鉴!$AB$2:$AB$53,MATCH(monster!C143,卡牌图鉴!$C$2:$C$57,0)) * INDEX(数值规划表!$B$61:$B$71,monster!E143+1) * 血量调整)</f>
        <v>1455</v>
      </c>
      <c r="G143" s="15">
        <f>ROUND(INDEX(卡牌图鉴!$AB$2:$AB$53,MATCH(monster!C143,卡牌图鉴!$C$2:$C$57,0)) * INDEX(数值规划表!$D$61:$D$71,monster!E143+1)*血量调整,2)</f>
        <v>43.66</v>
      </c>
      <c r="H143" s="15">
        <f>ROUND(INDEX(卡牌图鉴!$AA$2:$AA$53,MATCH(monster!C143,卡牌图鉴!$C$2:$C$53,0)) * INDEX(数值规划表!$C$61:$C$71,monster!E143+1),2)</f>
        <v>75.260000000000005</v>
      </c>
      <c r="I143" s="15">
        <f>ROUND(INDEX(卡牌图鉴!$AA$2:$AA$53,MATCH(monster!C143,卡牌图鉴!$C$2:$C$53,0)) * INDEX(数值规划表!$E$61:$E$71,monster!E143+1),2)</f>
        <v>2.2599999999999998</v>
      </c>
      <c r="J143" s="15">
        <f>INDEX(卡牌图鉴!$J$2:$J$53,MATCH(monster!C143,卡牌图鉴!$C$2:$C$53,0))</f>
        <v>4</v>
      </c>
      <c r="K143" s="15">
        <f>INDEX(卡牌图鉴!$S$2:$S$53,MATCH(monster!C143,卡牌图鉴!$C$2:$C$53,0))</f>
        <v>3</v>
      </c>
      <c r="L143" s="15">
        <f>INDEX(卡牌图鉴!$H$2:$H$53,MATCH(monster!C143,卡牌图鉴!$C$2:$C$53,0))</f>
        <v>0.8</v>
      </c>
      <c r="M143" s="15">
        <f>INDEX(卡牌图鉴!$L$2:$L$53,MATCH(monster!C143,卡牌图鉴!$C$2:$C$53,0))</f>
        <v>3</v>
      </c>
      <c r="N143" s="15">
        <f>INDEX(卡牌图鉴!$AD$2:$AD$53,MATCH(monster!C143,卡牌图鉴!$C$2:$C$53,0))</f>
        <v>6</v>
      </c>
      <c r="O143" s="78">
        <f>INDEX(卡牌图鉴!$K$2:$K$53,MATCH(monster!C143,卡牌图鉴!$C$2:$C$53,0))</f>
        <v>3</v>
      </c>
    </row>
    <row r="144" spans="1:15" x14ac:dyDescent="0.15">
      <c r="A144" s="31">
        <v>1022</v>
      </c>
      <c r="B144" s="31" t="s">
        <v>168</v>
      </c>
      <c r="C144" s="31">
        <v>1012</v>
      </c>
      <c r="D144" s="15">
        <f>INDEX(卡牌图鉴!$S$2:$S$53,MATCH(monster!C144,卡牌图鉴!$C$2:$C$53,0))</f>
        <v>3</v>
      </c>
      <c r="E144" s="31">
        <v>10</v>
      </c>
      <c r="F144" s="15">
        <f>INT(INDEX(卡牌图鉴!$AB$2:$AB$53,MATCH(monster!C144,卡牌图鉴!$C$2:$C$57,0)) * INDEX(数值规划表!$B$61:$B$71,monster!E144+1) * 血量调整)</f>
        <v>1630</v>
      </c>
      <c r="G144" s="15">
        <f>ROUND(INDEX(卡牌图鉴!$AB$2:$AB$53,MATCH(monster!C144,卡牌图鉴!$C$2:$C$57,0)) * INDEX(数值规划表!$D$61:$D$71,monster!E144+1)*血量调整,2)</f>
        <v>48.9</v>
      </c>
      <c r="H144" s="15">
        <f>ROUND(INDEX(卡牌图鉴!$AA$2:$AA$53,MATCH(monster!C144,卡牌图鉴!$C$2:$C$53,0)) * INDEX(数值规划表!$C$61:$C$71,monster!E144+1),2)</f>
        <v>84.29</v>
      </c>
      <c r="I144" s="15">
        <f>ROUND(INDEX(卡牌图鉴!$AA$2:$AA$53,MATCH(monster!C144,卡牌图鉴!$C$2:$C$53,0)) * INDEX(数值规划表!$E$61:$E$71,monster!E144+1),2)</f>
        <v>2.5299999999999998</v>
      </c>
      <c r="J144" s="15">
        <f>INDEX(卡牌图鉴!$J$2:$J$53,MATCH(monster!C144,卡牌图鉴!$C$2:$C$53,0))</f>
        <v>4</v>
      </c>
      <c r="K144" s="15">
        <f>INDEX(卡牌图鉴!$S$2:$S$53,MATCH(monster!C144,卡牌图鉴!$C$2:$C$53,0))</f>
        <v>3</v>
      </c>
      <c r="L144" s="15">
        <f>INDEX(卡牌图鉴!$H$2:$H$53,MATCH(monster!C144,卡牌图鉴!$C$2:$C$53,0))</f>
        <v>0.8</v>
      </c>
      <c r="M144" s="15">
        <f>INDEX(卡牌图鉴!$L$2:$L$53,MATCH(monster!C144,卡牌图鉴!$C$2:$C$53,0))</f>
        <v>3</v>
      </c>
      <c r="N144" s="15">
        <f>INDEX(卡牌图鉴!$AD$2:$AD$53,MATCH(monster!C144,卡牌图鉴!$C$2:$C$53,0))</f>
        <v>6</v>
      </c>
      <c r="O144" s="78">
        <f>INDEX(卡牌图鉴!$K$2:$K$53,MATCH(monster!C144,卡牌图鉴!$C$2:$C$53,0))</f>
        <v>3</v>
      </c>
    </row>
    <row r="145" spans="1:15" x14ac:dyDescent="0.15">
      <c r="A145" s="31">
        <v>1173</v>
      </c>
      <c r="B145" s="31" t="s">
        <v>1435</v>
      </c>
      <c r="C145" s="31">
        <v>1173</v>
      </c>
      <c r="D145" s="15">
        <f>INDEX(卡牌图鉴!$S$2:$S$53,MATCH(monster!C145,卡牌图鉴!$C$2:$C$53,0))</f>
        <v>1</v>
      </c>
      <c r="E145" s="31">
        <v>0</v>
      </c>
      <c r="F145" s="15">
        <f>INT(INDEX(卡牌图鉴!$AB$2:$AB$53,MATCH(monster!C145,卡牌图鉴!$C$2:$C$57,0)) * INDEX(数值规划表!$B$61:$B$71,monster!E145+1) * 血量调整)</f>
        <v>709</v>
      </c>
      <c r="G145" s="15">
        <f>ROUND(INDEX(卡牌图鉴!$AB$2:$AB$53,MATCH(monster!C145,卡牌图鉴!$C$2:$C$57,0)) * INDEX(数值规划表!$D$61:$D$71,monster!E145+1)*血量调整,2)</f>
        <v>21.29</v>
      </c>
      <c r="H145" s="15">
        <f>ROUND(INDEX(卡牌图鉴!$AA$2:$AA$53,MATCH(monster!C145,卡牌图鉴!$C$2:$C$53,0)) * INDEX(数值规划表!$C$61:$C$71,monster!E145+1),2)</f>
        <v>31.88</v>
      </c>
      <c r="I145" s="15">
        <f>ROUND(INDEX(卡牌图鉴!$AA$2:$AA$53,MATCH(monster!C145,卡牌图鉴!$C$2:$C$53,0)) * INDEX(数值规划表!$E$61:$E$71,monster!E145+1),2)</f>
        <v>0.96</v>
      </c>
      <c r="J145" s="15">
        <f>INDEX(卡牌图鉴!$J$2:$J$53,MATCH(monster!C145,卡牌图鉴!$C$2:$C$53,0))</f>
        <v>1.2</v>
      </c>
      <c r="K145" s="15">
        <f>INDEX(卡牌图鉴!$S$2:$S$53,MATCH(monster!C145,卡牌图鉴!$C$2:$C$53,0))</f>
        <v>1</v>
      </c>
      <c r="L145" s="15">
        <f>INDEX(卡牌图鉴!$H$2:$H$53,MATCH(monster!C145,卡牌图鉴!$C$2:$C$53,0))</f>
        <v>1.4</v>
      </c>
      <c r="M145" s="15">
        <f>INDEX(卡牌图鉴!$L$2:$L$53,MATCH(monster!C145,卡牌图鉴!$C$2:$C$53,0))</f>
        <v>5</v>
      </c>
      <c r="N145" s="15">
        <f>INDEX(卡牌图鉴!$AD$2:$AD$53,MATCH(monster!C145,卡牌图鉴!$C$2:$C$53,0))</f>
        <v>8</v>
      </c>
      <c r="O145" s="78">
        <f>INDEX(卡牌图鉴!$K$2:$K$53,MATCH(monster!C145,卡牌图鉴!$C$2:$C$53,0))</f>
        <v>5</v>
      </c>
    </row>
    <row r="146" spans="1:15" x14ac:dyDescent="0.15">
      <c r="A146" s="31">
        <v>1174</v>
      </c>
      <c r="B146" s="31" t="s">
        <v>1356</v>
      </c>
      <c r="C146" s="31">
        <v>1173</v>
      </c>
      <c r="D146" s="15">
        <f>INDEX(卡牌图鉴!$S$2:$S$53,MATCH(monster!C146,卡牌图鉴!$C$2:$C$53,0))</f>
        <v>1</v>
      </c>
      <c r="E146" s="31">
        <v>1</v>
      </c>
      <c r="F146" s="15">
        <f>INT(INDEX(卡牌图鉴!$AB$2:$AB$53,MATCH(monster!C146,卡牌图鉴!$C$2:$C$57,0)) * INDEX(数值规划表!$B$61:$B$71,monster!E146+1) * 血量调整)</f>
        <v>794</v>
      </c>
      <c r="G146" s="15">
        <f>ROUND(INDEX(卡牌图鉴!$AB$2:$AB$53,MATCH(monster!C146,卡牌图鉴!$C$2:$C$57,0)) * INDEX(数值规划表!$D$61:$D$71,monster!E146+1)*血量调整,2)</f>
        <v>23.84</v>
      </c>
      <c r="H146" s="15">
        <f>ROUND(INDEX(卡牌图鉴!$AA$2:$AA$53,MATCH(monster!C146,卡牌图鉴!$C$2:$C$53,0)) * INDEX(数值规划表!$C$61:$C$71,monster!E146+1),2)</f>
        <v>35.71</v>
      </c>
      <c r="I146" s="15">
        <f>ROUND(INDEX(卡牌图鉴!$AA$2:$AA$53,MATCH(monster!C146,卡牌图鉴!$C$2:$C$53,0)) * INDEX(数值规划表!$E$61:$E$71,monster!E146+1),2)</f>
        <v>1.07</v>
      </c>
      <c r="J146" s="15">
        <f>INDEX(卡牌图鉴!$J$2:$J$53,MATCH(monster!C146,卡牌图鉴!$C$2:$C$53,0))</f>
        <v>1.2</v>
      </c>
      <c r="K146" s="15">
        <f>INDEX(卡牌图鉴!$S$2:$S$53,MATCH(monster!C146,卡牌图鉴!$C$2:$C$53,0))</f>
        <v>1</v>
      </c>
      <c r="L146" s="15">
        <f>INDEX(卡牌图鉴!$H$2:$H$53,MATCH(monster!C146,卡牌图鉴!$C$2:$C$53,0))</f>
        <v>1.4</v>
      </c>
      <c r="M146" s="15">
        <f>INDEX(卡牌图鉴!$L$2:$L$53,MATCH(monster!C146,卡牌图鉴!$C$2:$C$53,0))</f>
        <v>5</v>
      </c>
      <c r="N146" s="15">
        <f>INDEX(卡牌图鉴!$AD$2:$AD$53,MATCH(monster!C146,卡牌图鉴!$C$2:$C$53,0))</f>
        <v>8</v>
      </c>
      <c r="O146" s="78">
        <f>INDEX(卡牌图鉴!$K$2:$K$53,MATCH(monster!C146,卡牌图鉴!$C$2:$C$53,0))</f>
        <v>5</v>
      </c>
    </row>
    <row r="147" spans="1:15" x14ac:dyDescent="0.15">
      <c r="A147" s="31">
        <v>1175</v>
      </c>
      <c r="B147" s="31" t="s">
        <v>278</v>
      </c>
      <c r="C147" s="31">
        <v>1173</v>
      </c>
      <c r="D147" s="15">
        <f>INDEX(卡牌图鉴!$S$2:$S$53,MATCH(monster!C147,卡牌图鉴!$C$2:$C$53,0))</f>
        <v>1</v>
      </c>
      <c r="E147" s="31">
        <v>2</v>
      </c>
      <c r="F147" s="15">
        <f>INT(INDEX(卡牌图鉴!$AB$2:$AB$53,MATCH(monster!C147,卡牌图鉴!$C$2:$C$57,0)) * INDEX(数值规划表!$B$61:$B$71,monster!E147+1) * 血量调整)</f>
        <v>889</v>
      </c>
      <c r="G147" s="15">
        <f>ROUND(INDEX(卡牌图鉴!$AB$2:$AB$53,MATCH(monster!C147,卡牌图鉴!$C$2:$C$57,0)) * INDEX(数值规划表!$D$61:$D$71,monster!E147+1)*血量调整,2)</f>
        <v>26.7</v>
      </c>
      <c r="H147" s="15">
        <f>ROUND(INDEX(卡牌图鉴!$AA$2:$AA$53,MATCH(monster!C147,卡牌图鉴!$C$2:$C$53,0)) * INDEX(数值规划表!$C$61:$C$71,monster!E147+1),2)</f>
        <v>39.99</v>
      </c>
      <c r="I147" s="15">
        <f>ROUND(INDEX(卡牌图鉴!$AA$2:$AA$53,MATCH(monster!C147,卡牌图鉴!$C$2:$C$53,0)) * INDEX(数值规划表!$E$61:$E$71,monster!E147+1),2)</f>
        <v>1.2</v>
      </c>
      <c r="J147" s="15">
        <f>INDEX(卡牌图鉴!$J$2:$J$53,MATCH(monster!C147,卡牌图鉴!$C$2:$C$53,0))</f>
        <v>1.2</v>
      </c>
      <c r="K147" s="15">
        <f>INDEX(卡牌图鉴!$S$2:$S$53,MATCH(monster!C147,卡牌图鉴!$C$2:$C$53,0))</f>
        <v>1</v>
      </c>
      <c r="L147" s="15">
        <f>INDEX(卡牌图鉴!$H$2:$H$53,MATCH(monster!C147,卡牌图鉴!$C$2:$C$53,0))</f>
        <v>1.4</v>
      </c>
      <c r="M147" s="15">
        <f>INDEX(卡牌图鉴!$L$2:$L$53,MATCH(monster!C147,卡牌图鉴!$C$2:$C$53,0))</f>
        <v>5</v>
      </c>
      <c r="N147" s="15">
        <f>INDEX(卡牌图鉴!$AD$2:$AD$53,MATCH(monster!C147,卡牌图鉴!$C$2:$C$53,0))</f>
        <v>8</v>
      </c>
      <c r="O147" s="78">
        <f>INDEX(卡牌图鉴!$K$2:$K$53,MATCH(monster!C147,卡牌图鉴!$C$2:$C$53,0))</f>
        <v>5</v>
      </c>
    </row>
    <row r="148" spans="1:15" x14ac:dyDescent="0.15">
      <c r="A148" s="31">
        <v>1176</v>
      </c>
      <c r="B148" s="31" t="s">
        <v>279</v>
      </c>
      <c r="C148" s="31">
        <v>1173</v>
      </c>
      <c r="D148" s="15">
        <f>INDEX(卡牌图鉴!$S$2:$S$53,MATCH(monster!C148,卡牌图鉴!$C$2:$C$53,0))</f>
        <v>1</v>
      </c>
      <c r="E148" s="31">
        <v>3</v>
      </c>
      <c r="F148" s="15">
        <f>INT(INDEX(卡牌图鉴!$AB$2:$AB$53,MATCH(monster!C148,卡牌图鉴!$C$2:$C$57,0)) * INDEX(数值规划表!$B$61:$B$71,monster!E148+1) * 血量调整)</f>
        <v>996</v>
      </c>
      <c r="G148" s="15">
        <f>ROUND(INDEX(卡牌图鉴!$AB$2:$AB$53,MATCH(monster!C148,卡牌图鉴!$C$2:$C$57,0)) * INDEX(数值规划表!$D$61:$D$71,monster!E148+1)*血量调整,2)</f>
        <v>29.9</v>
      </c>
      <c r="H148" s="15">
        <f>ROUND(INDEX(卡牌图鉴!$AA$2:$AA$53,MATCH(monster!C148,卡牌图鉴!$C$2:$C$53,0)) * INDEX(数值规划表!$C$61:$C$71,monster!E148+1),2)</f>
        <v>44.79</v>
      </c>
      <c r="I148" s="15">
        <f>ROUND(INDEX(卡牌图鉴!$AA$2:$AA$53,MATCH(monster!C148,卡牌图鉴!$C$2:$C$53,0)) * INDEX(数值规划表!$E$61:$E$71,monster!E148+1),2)</f>
        <v>1.34</v>
      </c>
      <c r="J148" s="15">
        <f>INDEX(卡牌图鉴!$J$2:$J$53,MATCH(monster!C148,卡牌图鉴!$C$2:$C$53,0))</f>
        <v>1.2</v>
      </c>
      <c r="K148" s="15">
        <f>INDEX(卡牌图鉴!$S$2:$S$53,MATCH(monster!C148,卡牌图鉴!$C$2:$C$53,0))</f>
        <v>1</v>
      </c>
      <c r="L148" s="15">
        <f>INDEX(卡牌图鉴!$H$2:$H$53,MATCH(monster!C148,卡牌图鉴!$C$2:$C$53,0))</f>
        <v>1.4</v>
      </c>
      <c r="M148" s="15">
        <f>INDEX(卡牌图鉴!$L$2:$L$53,MATCH(monster!C148,卡牌图鉴!$C$2:$C$53,0))</f>
        <v>5</v>
      </c>
      <c r="N148" s="15">
        <f>INDEX(卡牌图鉴!$AD$2:$AD$53,MATCH(monster!C148,卡牌图鉴!$C$2:$C$53,0))</f>
        <v>8</v>
      </c>
      <c r="O148" s="78">
        <f>INDEX(卡牌图鉴!$K$2:$K$53,MATCH(monster!C148,卡牌图鉴!$C$2:$C$53,0))</f>
        <v>5</v>
      </c>
    </row>
    <row r="149" spans="1:15" x14ac:dyDescent="0.15">
      <c r="A149" s="31">
        <v>1177</v>
      </c>
      <c r="B149" s="31" t="s">
        <v>280</v>
      </c>
      <c r="C149" s="31">
        <v>1173</v>
      </c>
      <c r="D149" s="15">
        <f>INDEX(卡牌图鉴!$S$2:$S$53,MATCH(monster!C149,卡牌图鉴!$C$2:$C$53,0))</f>
        <v>1</v>
      </c>
      <c r="E149" s="31">
        <v>4</v>
      </c>
      <c r="F149" s="15">
        <f>INT(INDEX(卡牌图鉴!$AB$2:$AB$53,MATCH(monster!C149,卡牌图鉴!$C$2:$C$57,0)) * INDEX(数值规划表!$B$61:$B$71,monster!E149+1) * 血量调整)</f>
        <v>1116</v>
      </c>
      <c r="G149" s="15">
        <f>ROUND(INDEX(卡牌图鉴!$AB$2:$AB$53,MATCH(monster!C149,卡牌图鉴!$C$2:$C$57,0)) * INDEX(数值规划表!$D$61:$D$71,monster!E149+1)*血量调整,2)</f>
        <v>33.49</v>
      </c>
      <c r="H149" s="15">
        <f>ROUND(INDEX(卡牌图鉴!$AA$2:$AA$53,MATCH(monster!C149,卡牌图鉴!$C$2:$C$53,0)) * INDEX(数值规划表!$C$61:$C$71,monster!E149+1),2)</f>
        <v>50.16</v>
      </c>
      <c r="I149" s="15">
        <f>ROUND(INDEX(卡牌图鉴!$AA$2:$AA$53,MATCH(monster!C149,卡牌图鉴!$C$2:$C$53,0)) * INDEX(数值规划表!$E$61:$E$71,monster!E149+1),2)</f>
        <v>1.5</v>
      </c>
      <c r="J149" s="15">
        <f>INDEX(卡牌图鉴!$J$2:$J$53,MATCH(monster!C149,卡牌图鉴!$C$2:$C$53,0))</f>
        <v>1.2</v>
      </c>
      <c r="K149" s="15">
        <f>INDEX(卡牌图鉴!$S$2:$S$53,MATCH(monster!C149,卡牌图鉴!$C$2:$C$53,0))</f>
        <v>1</v>
      </c>
      <c r="L149" s="15">
        <f>INDEX(卡牌图鉴!$H$2:$H$53,MATCH(monster!C149,卡牌图鉴!$C$2:$C$53,0))</f>
        <v>1.4</v>
      </c>
      <c r="M149" s="15">
        <f>INDEX(卡牌图鉴!$L$2:$L$53,MATCH(monster!C149,卡牌图鉴!$C$2:$C$53,0))</f>
        <v>5</v>
      </c>
      <c r="N149" s="15">
        <f>INDEX(卡牌图鉴!$AD$2:$AD$53,MATCH(monster!C149,卡牌图鉴!$C$2:$C$53,0))</f>
        <v>8</v>
      </c>
      <c r="O149" s="78">
        <f>INDEX(卡牌图鉴!$K$2:$K$53,MATCH(monster!C149,卡牌图鉴!$C$2:$C$53,0))</f>
        <v>5</v>
      </c>
    </row>
    <row r="150" spans="1:15" x14ac:dyDescent="0.15">
      <c r="A150" s="31">
        <v>1178</v>
      </c>
      <c r="B150" s="31" t="s">
        <v>281</v>
      </c>
      <c r="C150" s="31">
        <v>1173</v>
      </c>
      <c r="D150" s="15">
        <f>INDEX(卡牌图鉴!$S$2:$S$53,MATCH(monster!C150,卡牌图鉴!$C$2:$C$53,0))</f>
        <v>1</v>
      </c>
      <c r="E150" s="31">
        <v>5</v>
      </c>
      <c r="F150" s="15">
        <f>INT(INDEX(卡牌图鉴!$AB$2:$AB$53,MATCH(monster!C150,卡牌图鉴!$C$2:$C$57,0)) * INDEX(数值规划表!$B$61:$B$71,monster!E150+1) * 血量调整)</f>
        <v>1250</v>
      </c>
      <c r="G150" s="15">
        <f>ROUND(INDEX(卡牌图鉴!$AB$2:$AB$53,MATCH(monster!C150,卡牌图鉴!$C$2:$C$57,0)) * INDEX(数值规划表!$D$61:$D$71,monster!E150+1)*血量调整,2)</f>
        <v>37.51</v>
      </c>
      <c r="H150" s="15">
        <f>ROUND(INDEX(卡牌图鉴!$AA$2:$AA$53,MATCH(monster!C150,卡牌图鉴!$C$2:$C$53,0)) * INDEX(数值规划表!$C$61:$C$71,monster!E150+1),2)</f>
        <v>56.18</v>
      </c>
      <c r="I150" s="15">
        <f>ROUND(INDEX(卡牌图鉴!$AA$2:$AA$53,MATCH(monster!C150,卡牌图鉴!$C$2:$C$53,0)) * INDEX(数值规划表!$E$61:$E$71,monster!E150+1),2)</f>
        <v>1.69</v>
      </c>
      <c r="J150" s="15">
        <f>INDEX(卡牌图鉴!$J$2:$J$53,MATCH(monster!C150,卡牌图鉴!$C$2:$C$53,0))</f>
        <v>1.2</v>
      </c>
      <c r="K150" s="15">
        <f>INDEX(卡牌图鉴!$S$2:$S$53,MATCH(monster!C150,卡牌图鉴!$C$2:$C$53,0))</f>
        <v>1</v>
      </c>
      <c r="L150" s="15">
        <f>INDEX(卡牌图鉴!$H$2:$H$53,MATCH(monster!C150,卡牌图鉴!$C$2:$C$53,0))</f>
        <v>1.4</v>
      </c>
      <c r="M150" s="15">
        <f>INDEX(卡牌图鉴!$L$2:$L$53,MATCH(monster!C150,卡牌图鉴!$C$2:$C$53,0))</f>
        <v>5</v>
      </c>
      <c r="N150" s="15">
        <f>INDEX(卡牌图鉴!$AD$2:$AD$53,MATCH(monster!C150,卡牌图鉴!$C$2:$C$53,0))</f>
        <v>8</v>
      </c>
      <c r="O150" s="78">
        <f>INDEX(卡牌图鉴!$K$2:$K$53,MATCH(monster!C150,卡牌图鉴!$C$2:$C$53,0))</f>
        <v>5</v>
      </c>
    </row>
    <row r="151" spans="1:15" x14ac:dyDescent="0.15">
      <c r="A151" s="31">
        <v>1179</v>
      </c>
      <c r="B151" s="31" t="s">
        <v>282</v>
      </c>
      <c r="C151" s="31">
        <v>1173</v>
      </c>
      <c r="D151" s="15">
        <f>INDEX(卡牌图鉴!$S$2:$S$53,MATCH(monster!C151,卡牌图鉴!$C$2:$C$53,0))</f>
        <v>1</v>
      </c>
      <c r="E151" s="31">
        <v>6</v>
      </c>
      <c r="F151" s="15">
        <f>INT(INDEX(卡牌图鉴!$AB$2:$AB$53,MATCH(monster!C151,卡牌图鉴!$C$2:$C$57,0)) * INDEX(数值规划表!$B$61:$B$71,monster!E151+1) * 血量调整)</f>
        <v>1400</v>
      </c>
      <c r="G151" s="15">
        <f>ROUND(INDEX(卡牌图鉴!$AB$2:$AB$53,MATCH(monster!C151,卡牌图鉴!$C$2:$C$57,0)) * INDEX(数值规划表!$D$61:$D$71,monster!E151+1)*血量调整,2)</f>
        <v>42.01</v>
      </c>
      <c r="H151" s="15">
        <f>ROUND(INDEX(卡牌图鉴!$AA$2:$AA$53,MATCH(monster!C151,卡牌图鉴!$C$2:$C$53,0)) * INDEX(数值规划表!$C$61:$C$71,monster!E151+1),2)</f>
        <v>62.93</v>
      </c>
      <c r="I151" s="15">
        <f>ROUND(INDEX(卡牌图鉴!$AA$2:$AA$53,MATCH(monster!C151,卡牌图鉴!$C$2:$C$53,0)) * INDEX(数值规划表!$E$61:$E$71,monster!E151+1),2)</f>
        <v>1.89</v>
      </c>
      <c r="J151" s="15">
        <f>INDEX(卡牌图鉴!$J$2:$J$53,MATCH(monster!C151,卡牌图鉴!$C$2:$C$53,0))</f>
        <v>1.2</v>
      </c>
      <c r="K151" s="15">
        <f>INDEX(卡牌图鉴!$S$2:$S$53,MATCH(monster!C151,卡牌图鉴!$C$2:$C$53,0))</f>
        <v>1</v>
      </c>
      <c r="L151" s="15">
        <f>INDEX(卡牌图鉴!$H$2:$H$53,MATCH(monster!C151,卡牌图鉴!$C$2:$C$53,0))</f>
        <v>1.4</v>
      </c>
      <c r="M151" s="15">
        <f>INDEX(卡牌图鉴!$L$2:$L$53,MATCH(monster!C151,卡牌图鉴!$C$2:$C$53,0))</f>
        <v>5</v>
      </c>
      <c r="N151" s="15">
        <f>INDEX(卡牌图鉴!$AD$2:$AD$53,MATCH(monster!C151,卡牌图鉴!$C$2:$C$53,0))</f>
        <v>8</v>
      </c>
      <c r="O151" s="78">
        <f>INDEX(卡牌图鉴!$K$2:$K$53,MATCH(monster!C151,卡牌图鉴!$C$2:$C$53,0))</f>
        <v>5</v>
      </c>
    </row>
    <row r="152" spans="1:15" x14ac:dyDescent="0.15">
      <c r="A152" s="31">
        <v>1180</v>
      </c>
      <c r="B152" s="31" t="s">
        <v>283</v>
      </c>
      <c r="C152" s="31">
        <v>1173</v>
      </c>
      <c r="D152" s="15">
        <f>INDEX(卡牌图鉴!$S$2:$S$53,MATCH(monster!C152,卡牌图鉴!$C$2:$C$53,0))</f>
        <v>1</v>
      </c>
      <c r="E152" s="31">
        <v>7</v>
      </c>
      <c r="F152" s="15">
        <f>INT(INDEX(卡牌图鉴!$AB$2:$AB$53,MATCH(monster!C152,卡牌图鉴!$C$2:$C$57,0)) * INDEX(数值规划表!$B$61:$B$71,monster!E152+1) * 血量调整)</f>
        <v>1568</v>
      </c>
      <c r="G152" s="15">
        <f>ROUND(INDEX(卡牌图鉴!$AB$2:$AB$53,MATCH(monster!C152,卡牌图鉴!$C$2:$C$57,0)) * INDEX(数值规划表!$D$61:$D$71,monster!E152+1)*血量调整,2)</f>
        <v>47.05</v>
      </c>
      <c r="H152" s="15">
        <f>ROUND(INDEX(卡牌图鉴!$AA$2:$AA$53,MATCH(monster!C152,卡牌图鉴!$C$2:$C$53,0)) * INDEX(数值规划表!$C$61:$C$71,monster!E152+1),2)</f>
        <v>70.48</v>
      </c>
      <c r="I152" s="15">
        <f>ROUND(INDEX(卡牌图鉴!$AA$2:$AA$53,MATCH(monster!C152,卡牌图鉴!$C$2:$C$53,0)) * INDEX(数值规划表!$E$61:$E$71,monster!E152+1),2)</f>
        <v>2.11</v>
      </c>
      <c r="J152" s="15">
        <f>INDEX(卡牌图鉴!$J$2:$J$53,MATCH(monster!C152,卡牌图鉴!$C$2:$C$53,0))</f>
        <v>1.2</v>
      </c>
      <c r="K152" s="15">
        <f>INDEX(卡牌图鉴!$S$2:$S$53,MATCH(monster!C152,卡牌图鉴!$C$2:$C$53,0))</f>
        <v>1</v>
      </c>
      <c r="L152" s="15">
        <f>INDEX(卡牌图鉴!$H$2:$H$53,MATCH(monster!C152,卡牌图鉴!$C$2:$C$53,0))</f>
        <v>1.4</v>
      </c>
      <c r="M152" s="15">
        <f>INDEX(卡牌图鉴!$L$2:$L$53,MATCH(monster!C152,卡牌图鉴!$C$2:$C$53,0))</f>
        <v>5</v>
      </c>
      <c r="N152" s="15">
        <f>INDEX(卡牌图鉴!$AD$2:$AD$53,MATCH(monster!C152,卡牌图鉴!$C$2:$C$53,0))</f>
        <v>8</v>
      </c>
      <c r="O152" s="78">
        <f>INDEX(卡牌图鉴!$K$2:$K$53,MATCH(monster!C152,卡牌图鉴!$C$2:$C$53,0))</f>
        <v>5</v>
      </c>
    </row>
    <row r="153" spans="1:15" x14ac:dyDescent="0.15">
      <c r="A153" s="31">
        <v>1181</v>
      </c>
      <c r="B153" s="31" t="s">
        <v>284</v>
      </c>
      <c r="C153" s="31">
        <v>1173</v>
      </c>
      <c r="D153" s="15">
        <f>INDEX(卡牌图鉴!$S$2:$S$53,MATCH(monster!C153,卡牌图鉴!$C$2:$C$53,0))</f>
        <v>1</v>
      </c>
      <c r="E153" s="31">
        <v>8</v>
      </c>
      <c r="F153" s="15">
        <f>INT(INDEX(卡牌图鉴!$AB$2:$AB$53,MATCH(monster!C153,卡牌图鉴!$C$2:$C$57,0)) * INDEX(数值规划表!$B$61:$B$71,monster!E153+1) * 血量调整)</f>
        <v>1756</v>
      </c>
      <c r="G153" s="15">
        <f>ROUND(INDEX(卡牌图鉴!$AB$2:$AB$53,MATCH(monster!C153,卡牌图鉴!$C$2:$C$57,0)) * INDEX(数值规划表!$D$61:$D$71,monster!E153+1)*血量调整,2)</f>
        <v>52.7</v>
      </c>
      <c r="H153" s="15">
        <f>ROUND(INDEX(卡牌图鉴!$AA$2:$AA$53,MATCH(monster!C153,卡牌图鉴!$C$2:$C$53,0)) * INDEX(数值规划表!$C$61:$C$71,monster!E153+1),2)</f>
        <v>78.930000000000007</v>
      </c>
      <c r="I153" s="15">
        <f>ROUND(INDEX(卡牌图鉴!$AA$2:$AA$53,MATCH(monster!C153,卡牌图鉴!$C$2:$C$53,0)) * INDEX(数值规划表!$E$61:$E$71,monster!E153+1),2)</f>
        <v>2.37</v>
      </c>
      <c r="J153" s="15">
        <f>INDEX(卡牌图鉴!$J$2:$J$53,MATCH(monster!C153,卡牌图鉴!$C$2:$C$53,0))</f>
        <v>1.2</v>
      </c>
      <c r="K153" s="15">
        <f>INDEX(卡牌图鉴!$S$2:$S$53,MATCH(monster!C153,卡牌图鉴!$C$2:$C$53,0))</f>
        <v>1</v>
      </c>
      <c r="L153" s="15">
        <f>INDEX(卡牌图鉴!$H$2:$H$53,MATCH(monster!C153,卡牌图鉴!$C$2:$C$53,0))</f>
        <v>1.4</v>
      </c>
      <c r="M153" s="15">
        <f>INDEX(卡牌图鉴!$L$2:$L$53,MATCH(monster!C153,卡牌图鉴!$C$2:$C$53,0))</f>
        <v>5</v>
      </c>
      <c r="N153" s="15">
        <f>INDEX(卡牌图鉴!$AD$2:$AD$53,MATCH(monster!C153,卡牌图鉴!$C$2:$C$53,0))</f>
        <v>8</v>
      </c>
      <c r="O153" s="78">
        <f>INDEX(卡牌图鉴!$K$2:$K$53,MATCH(monster!C153,卡牌图鉴!$C$2:$C$53,0))</f>
        <v>5</v>
      </c>
    </row>
    <row r="154" spans="1:15" x14ac:dyDescent="0.15">
      <c r="A154" s="31">
        <v>1182</v>
      </c>
      <c r="B154" s="31" t="s">
        <v>285</v>
      </c>
      <c r="C154" s="31">
        <v>1173</v>
      </c>
      <c r="D154" s="15">
        <f>INDEX(卡牌图鉴!$S$2:$S$53,MATCH(monster!C154,卡牌图鉴!$C$2:$C$53,0))</f>
        <v>1</v>
      </c>
      <c r="E154" s="31">
        <v>9</v>
      </c>
      <c r="F154" s="15">
        <f>INT(INDEX(卡牌图鉴!$AB$2:$AB$53,MATCH(monster!C154,卡牌图鉴!$C$2:$C$57,0)) * INDEX(数值规划表!$B$61:$B$71,monster!E154+1) * 血量调整)</f>
        <v>1967</v>
      </c>
      <c r="G154" s="15">
        <f>ROUND(INDEX(卡牌图鉴!$AB$2:$AB$53,MATCH(monster!C154,卡牌图鉴!$C$2:$C$57,0)) * INDEX(数值规划表!$D$61:$D$71,monster!E154+1)*血量调整,2)</f>
        <v>59.02</v>
      </c>
      <c r="H154" s="15">
        <f>ROUND(INDEX(卡牌图鉴!$AA$2:$AA$53,MATCH(monster!C154,卡牌图鉴!$C$2:$C$53,0)) * INDEX(数值规划表!$C$61:$C$71,monster!E154+1),2)</f>
        <v>88.41</v>
      </c>
      <c r="I154" s="15">
        <f>ROUND(INDEX(卡牌图鉴!$AA$2:$AA$53,MATCH(monster!C154,卡牌图鉴!$C$2:$C$53,0)) * INDEX(数值规划表!$E$61:$E$71,monster!E154+1),2)</f>
        <v>2.65</v>
      </c>
      <c r="J154" s="15">
        <f>INDEX(卡牌图鉴!$J$2:$J$53,MATCH(monster!C154,卡牌图鉴!$C$2:$C$53,0))</f>
        <v>1.2</v>
      </c>
      <c r="K154" s="15">
        <f>INDEX(卡牌图鉴!$S$2:$S$53,MATCH(monster!C154,卡牌图鉴!$C$2:$C$53,0))</f>
        <v>1</v>
      </c>
      <c r="L154" s="15">
        <f>INDEX(卡牌图鉴!$H$2:$H$53,MATCH(monster!C154,卡牌图鉴!$C$2:$C$53,0))</f>
        <v>1.4</v>
      </c>
      <c r="M154" s="15">
        <f>INDEX(卡牌图鉴!$L$2:$L$53,MATCH(monster!C154,卡牌图鉴!$C$2:$C$53,0))</f>
        <v>5</v>
      </c>
      <c r="N154" s="15">
        <f>INDEX(卡牌图鉴!$AD$2:$AD$53,MATCH(monster!C154,卡牌图鉴!$C$2:$C$53,0))</f>
        <v>8</v>
      </c>
      <c r="O154" s="78">
        <f>INDEX(卡牌图鉴!$K$2:$K$53,MATCH(monster!C154,卡牌图鉴!$C$2:$C$53,0))</f>
        <v>5</v>
      </c>
    </row>
    <row r="155" spans="1:15" x14ac:dyDescent="0.15">
      <c r="A155" s="31">
        <v>1183</v>
      </c>
      <c r="B155" s="31" t="s">
        <v>286</v>
      </c>
      <c r="C155" s="31">
        <v>1173</v>
      </c>
      <c r="D155" s="15">
        <f>INDEX(卡牌图鉴!$S$2:$S$53,MATCH(monster!C155,卡牌图鉴!$C$2:$C$53,0))</f>
        <v>1</v>
      </c>
      <c r="E155" s="31">
        <v>10</v>
      </c>
      <c r="F155" s="15">
        <f>INT(INDEX(卡牌图鉴!$AB$2:$AB$53,MATCH(monster!C155,卡牌图鉴!$C$2:$C$57,0)) * INDEX(数值规划表!$B$61:$B$71,monster!E155+1) * 血量调整)</f>
        <v>2203</v>
      </c>
      <c r="G155" s="15">
        <f>ROUND(INDEX(卡牌图鉴!$AB$2:$AB$53,MATCH(monster!C155,卡牌图鉴!$C$2:$C$57,0)) * INDEX(数值规划表!$D$61:$D$71,monster!E155+1)*血量调整,2)</f>
        <v>66.11</v>
      </c>
      <c r="H155" s="15">
        <f>ROUND(INDEX(卡牌图鉴!$AA$2:$AA$53,MATCH(monster!C155,卡牌图鉴!$C$2:$C$53,0)) * INDEX(数值规划表!$C$61:$C$71,monster!E155+1),2)</f>
        <v>99.01</v>
      </c>
      <c r="I155" s="15">
        <f>ROUND(INDEX(卡牌图鉴!$AA$2:$AA$53,MATCH(monster!C155,卡牌图鉴!$C$2:$C$53,0)) * INDEX(数值规划表!$E$61:$E$71,monster!E155+1),2)</f>
        <v>2.97</v>
      </c>
      <c r="J155" s="15">
        <f>INDEX(卡牌图鉴!$J$2:$J$53,MATCH(monster!C155,卡牌图鉴!$C$2:$C$53,0))</f>
        <v>1.2</v>
      </c>
      <c r="K155" s="15">
        <f>INDEX(卡牌图鉴!$S$2:$S$53,MATCH(monster!C155,卡牌图鉴!$C$2:$C$53,0))</f>
        <v>1</v>
      </c>
      <c r="L155" s="15">
        <f>INDEX(卡牌图鉴!$H$2:$H$53,MATCH(monster!C155,卡牌图鉴!$C$2:$C$53,0))</f>
        <v>1.4</v>
      </c>
      <c r="M155" s="15">
        <f>INDEX(卡牌图鉴!$L$2:$L$53,MATCH(monster!C155,卡牌图鉴!$C$2:$C$53,0))</f>
        <v>5</v>
      </c>
      <c r="N155" s="15">
        <f>INDEX(卡牌图鉴!$AD$2:$AD$53,MATCH(monster!C155,卡牌图鉴!$C$2:$C$53,0))</f>
        <v>8</v>
      </c>
      <c r="O155" s="78">
        <f>INDEX(卡牌图鉴!$K$2:$K$53,MATCH(monster!C155,卡牌图鉴!$C$2:$C$53,0))</f>
        <v>5</v>
      </c>
    </row>
    <row r="156" spans="1:15" x14ac:dyDescent="0.15">
      <c r="A156" s="31">
        <v>1056</v>
      </c>
      <c r="B156" s="31" t="s">
        <v>1357</v>
      </c>
      <c r="C156" s="31">
        <v>1056</v>
      </c>
      <c r="D156" s="15">
        <f>INDEX(卡牌图鉴!$S$2:$S$53,MATCH(monster!C156,卡牌图鉴!$C$2:$C$53,0))</f>
        <v>1</v>
      </c>
      <c r="E156" s="31">
        <v>0</v>
      </c>
      <c r="F156" s="15">
        <f>INT(INDEX(卡牌图鉴!$AB$2:$AB$53,MATCH(monster!C156,卡牌图鉴!$C$2:$C$57,0)) * INDEX(数值规划表!$B$61:$B$71,monster!E156+1) * 血量调整)</f>
        <v>151</v>
      </c>
      <c r="G156" s="15">
        <f>ROUND(INDEX(卡牌图鉴!$AB$2:$AB$53,MATCH(monster!C156,卡牌图鉴!$C$2:$C$57,0)) * INDEX(数值规划表!$D$61:$D$71,monster!E156+1)*血量调整,2)</f>
        <v>4.53</v>
      </c>
      <c r="H156" s="15">
        <f>ROUND(INDEX(卡牌图鉴!$AA$2:$AA$53,MATCH(monster!C156,卡牌图鉴!$C$2:$C$53,0)) * INDEX(数值规划表!$C$61:$C$71,monster!E156+1),2)</f>
        <v>35.700000000000003</v>
      </c>
      <c r="I156" s="15">
        <f>ROUND(INDEX(卡牌图鉴!$AA$2:$AA$53,MATCH(monster!C156,卡牌图鉴!$C$2:$C$53,0)) * INDEX(数值规划表!$E$61:$E$71,monster!E156+1),2)</f>
        <v>1.07</v>
      </c>
      <c r="J156" s="15">
        <f>INDEX(卡牌图鉴!$J$2:$J$53,MATCH(monster!C156,卡牌图鉴!$C$2:$C$53,0))</f>
        <v>1.5</v>
      </c>
      <c r="K156" s="15">
        <f>INDEX(卡牌图鉴!$S$2:$S$53,MATCH(monster!C156,卡牌图鉴!$C$2:$C$53,0))</f>
        <v>1</v>
      </c>
      <c r="L156" s="15">
        <f>INDEX(卡牌图鉴!$H$2:$H$53,MATCH(monster!C156,卡牌图鉴!$C$2:$C$53,0))</f>
        <v>2</v>
      </c>
      <c r="M156" s="15">
        <f>INDEX(卡牌图鉴!$L$2:$L$53,MATCH(monster!C156,卡牌图鉴!$C$2:$C$53,0))</f>
        <v>2</v>
      </c>
      <c r="N156" s="15">
        <f>INDEX(卡牌图鉴!$AD$2:$AD$53,MATCH(monster!C156,卡牌图鉴!$C$2:$C$53,0))</f>
        <v>5</v>
      </c>
      <c r="O156" s="78">
        <f>INDEX(卡牌图鉴!$K$2:$K$53,MATCH(monster!C156,卡牌图鉴!$C$2:$C$53,0))</f>
        <v>2</v>
      </c>
    </row>
    <row r="157" spans="1:15" x14ac:dyDescent="0.15">
      <c r="A157" s="31">
        <v>1057</v>
      </c>
      <c r="B157" s="31" t="s">
        <v>1358</v>
      </c>
      <c r="C157" s="31">
        <v>1056</v>
      </c>
      <c r="D157" s="15">
        <f>INDEX(卡牌图鉴!$S$2:$S$53,MATCH(monster!C157,卡牌图鉴!$C$2:$C$53,0))</f>
        <v>1</v>
      </c>
      <c r="E157" s="31">
        <v>1</v>
      </c>
      <c r="F157" s="15">
        <f>INT(INDEX(卡牌图鉴!$AB$2:$AB$53,MATCH(monster!C157,卡牌图鉴!$C$2:$C$57,0)) * INDEX(数值规划表!$B$61:$B$71,monster!E157+1) * 血量调整)</f>
        <v>169</v>
      </c>
      <c r="G157" s="15">
        <f>ROUND(INDEX(卡牌图鉴!$AB$2:$AB$53,MATCH(monster!C157,卡牌图鉴!$C$2:$C$57,0)) * INDEX(数值规划表!$D$61:$D$71,monster!E157+1)*血量调整,2)</f>
        <v>5.08</v>
      </c>
      <c r="H157" s="15">
        <f>ROUND(INDEX(卡牌图鉴!$AA$2:$AA$53,MATCH(monster!C157,卡牌图鉴!$C$2:$C$53,0)) * INDEX(数值规划表!$C$61:$C$71,monster!E157+1),2)</f>
        <v>39.979999999999997</v>
      </c>
      <c r="I157" s="15">
        <f>ROUND(INDEX(卡牌图鉴!$AA$2:$AA$53,MATCH(monster!C157,卡牌图鉴!$C$2:$C$53,0)) * INDEX(数值规划表!$E$61:$E$71,monster!E157+1),2)</f>
        <v>1.2</v>
      </c>
      <c r="J157" s="15">
        <f>INDEX(卡牌图鉴!$J$2:$J$53,MATCH(monster!C157,卡牌图鉴!$C$2:$C$53,0))</f>
        <v>1.5</v>
      </c>
      <c r="K157" s="15">
        <f>INDEX(卡牌图鉴!$S$2:$S$53,MATCH(monster!C157,卡牌图鉴!$C$2:$C$53,0))</f>
        <v>1</v>
      </c>
      <c r="L157" s="15">
        <f>INDEX(卡牌图鉴!$H$2:$H$53,MATCH(monster!C157,卡牌图鉴!$C$2:$C$53,0))</f>
        <v>2</v>
      </c>
      <c r="M157" s="15">
        <f>INDEX(卡牌图鉴!$L$2:$L$53,MATCH(monster!C157,卡牌图鉴!$C$2:$C$53,0))</f>
        <v>2</v>
      </c>
      <c r="N157" s="15">
        <f>INDEX(卡牌图鉴!$AD$2:$AD$53,MATCH(monster!C157,卡牌图鉴!$C$2:$C$53,0))</f>
        <v>5</v>
      </c>
      <c r="O157" s="78">
        <f>INDEX(卡牌图鉴!$K$2:$K$53,MATCH(monster!C157,卡牌图鉴!$C$2:$C$53,0))</f>
        <v>2</v>
      </c>
    </row>
    <row r="158" spans="1:15" x14ac:dyDescent="0.15">
      <c r="A158" s="31">
        <v>1058</v>
      </c>
      <c r="B158" s="31" t="s">
        <v>196</v>
      </c>
      <c r="C158" s="31">
        <v>1056</v>
      </c>
      <c r="D158" s="15">
        <f>INDEX(卡牌图鉴!$S$2:$S$53,MATCH(monster!C158,卡牌图鉴!$C$2:$C$53,0))</f>
        <v>1</v>
      </c>
      <c r="E158" s="31">
        <v>2</v>
      </c>
      <c r="F158" s="15">
        <f>INT(INDEX(卡牌图鉴!$AB$2:$AB$53,MATCH(monster!C158,卡牌图鉴!$C$2:$C$57,0)) * INDEX(数值规划表!$B$61:$B$71,monster!E158+1) * 血量调整)</f>
        <v>189</v>
      </c>
      <c r="G158" s="15">
        <f>ROUND(INDEX(卡牌图鉴!$AB$2:$AB$53,MATCH(monster!C158,卡牌图鉴!$C$2:$C$57,0)) * INDEX(数值规划表!$D$61:$D$71,monster!E158+1)*血量调整,2)</f>
        <v>5.69</v>
      </c>
      <c r="H158" s="15">
        <f>ROUND(INDEX(卡牌图鉴!$AA$2:$AA$53,MATCH(monster!C158,卡牌图鉴!$C$2:$C$53,0)) * INDEX(数值规划表!$C$61:$C$71,monster!E158+1),2)</f>
        <v>44.78</v>
      </c>
      <c r="I158" s="15">
        <f>ROUND(INDEX(卡牌图鉴!$AA$2:$AA$53,MATCH(monster!C158,卡牌图鉴!$C$2:$C$53,0)) * INDEX(数值规划表!$E$61:$E$71,monster!E158+1),2)</f>
        <v>1.34</v>
      </c>
      <c r="J158" s="15">
        <f>INDEX(卡牌图鉴!$J$2:$J$53,MATCH(monster!C158,卡牌图鉴!$C$2:$C$53,0))</f>
        <v>1.5</v>
      </c>
      <c r="K158" s="15">
        <f>INDEX(卡牌图鉴!$S$2:$S$53,MATCH(monster!C158,卡牌图鉴!$C$2:$C$53,0))</f>
        <v>1</v>
      </c>
      <c r="L158" s="15">
        <f>INDEX(卡牌图鉴!$H$2:$H$53,MATCH(monster!C158,卡牌图鉴!$C$2:$C$53,0))</f>
        <v>2</v>
      </c>
      <c r="M158" s="15">
        <f>INDEX(卡牌图鉴!$L$2:$L$53,MATCH(monster!C158,卡牌图鉴!$C$2:$C$53,0))</f>
        <v>2</v>
      </c>
      <c r="N158" s="15">
        <f>INDEX(卡牌图鉴!$AD$2:$AD$53,MATCH(monster!C158,卡牌图鉴!$C$2:$C$53,0))</f>
        <v>5</v>
      </c>
      <c r="O158" s="78">
        <f>INDEX(卡牌图鉴!$K$2:$K$53,MATCH(monster!C158,卡牌图鉴!$C$2:$C$53,0))</f>
        <v>2</v>
      </c>
    </row>
    <row r="159" spans="1:15" x14ac:dyDescent="0.15">
      <c r="A159" s="31">
        <v>1059</v>
      </c>
      <c r="B159" s="31" t="s">
        <v>197</v>
      </c>
      <c r="C159" s="31">
        <v>1056</v>
      </c>
      <c r="D159" s="15">
        <f>INDEX(卡牌图鉴!$S$2:$S$53,MATCH(monster!C159,卡牌图鉴!$C$2:$C$53,0))</f>
        <v>1</v>
      </c>
      <c r="E159" s="31">
        <v>3</v>
      </c>
      <c r="F159" s="15">
        <f>INT(INDEX(卡牌图鉴!$AB$2:$AB$53,MATCH(monster!C159,卡牌图鉴!$C$2:$C$57,0)) * INDEX(数值规划表!$B$61:$B$71,monster!E159+1) * 血量调整)</f>
        <v>212</v>
      </c>
      <c r="G159" s="15">
        <f>ROUND(INDEX(卡牌图鉴!$AB$2:$AB$53,MATCH(monster!C159,卡牌图鉴!$C$2:$C$57,0)) * INDEX(数值规划表!$D$61:$D$71,monster!E159+1)*血量调整,2)</f>
        <v>6.37</v>
      </c>
      <c r="H159" s="15">
        <f>ROUND(INDEX(卡牌图鉴!$AA$2:$AA$53,MATCH(monster!C159,卡牌图鉴!$C$2:$C$53,0)) * INDEX(数值规划表!$C$61:$C$71,monster!E159+1),2)</f>
        <v>50.16</v>
      </c>
      <c r="I159" s="15">
        <f>ROUND(INDEX(卡牌图鉴!$AA$2:$AA$53,MATCH(monster!C159,卡牌图鉴!$C$2:$C$53,0)) * INDEX(数值规划表!$E$61:$E$71,monster!E159+1),2)</f>
        <v>1.5</v>
      </c>
      <c r="J159" s="15">
        <f>INDEX(卡牌图鉴!$J$2:$J$53,MATCH(monster!C159,卡牌图鉴!$C$2:$C$53,0))</f>
        <v>1.5</v>
      </c>
      <c r="K159" s="15">
        <f>INDEX(卡牌图鉴!$S$2:$S$53,MATCH(monster!C159,卡牌图鉴!$C$2:$C$53,0))</f>
        <v>1</v>
      </c>
      <c r="L159" s="15">
        <f>INDEX(卡牌图鉴!$H$2:$H$53,MATCH(monster!C159,卡牌图鉴!$C$2:$C$53,0))</f>
        <v>2</v>
      </c>
      <c r="M159" s="15">
        <f>INDEX(卡牌图鉴!$L$2:$L$53,MATCH(monster!C159,卡牌图鉴!$C$2:$C$53,0))</f>
        <v>2</v>
      </c>
      <c r="N159" s="15">
        <f>INDEX(卡牌图鉴!$AD$2:$AD$53,MATCH(monster!C159,卡牌图鉴!$C$2:$C$53,0))</f>
        <v>5</v>
      </c>
      <c r="O159" s="78">
        <f>INDEX(卡牌图鉴!$K$2:$K$53,MATCH(monster!C159,卡牌图鉴!$C$2:$C$53,0))</f>
        <v>2</v>
      </c>
    </row>
    <row r="160" spans="1:15" x14ac:dyDescent="0.15">
      <c r="A160" s="31">
        <v>1060</v>
      </c>
      <c r="B160" s="31" t="s">
        <v>198</v>
      </c>
      <c r="C160" s="31">
        <v>1056</v>
      </c>
      <c r="D160" s="15">
        <f>INDEX(卡牌图鉴!$S$2:$S$53,MATCH(monster!C160,卡牌图鉴!$C$2:$C$53,0))</f>
        <v>1</v>
      </c>
      <c r="E160" s="31">
        <v>4</v>
      </c>
      <c r="F160" s="15">
        <f>INT(INDEX(卡牌图鉴!$AB$2:$AB$53,MATCH(monster!C160,卡牌图鉴!$C$2:$C$57,0)) * INDEX(数值规划表!$B$61:$B$71,monster!E160+1) * 血量调整)</f>
        <v>237</v>
      </c>
      <c r="G160" s="15">
        <f>ROUND(INDEX(卡牌图鉴!$AB$2:$AB$53,MATCH(monster!C160,卡牌图鉴!$C$2:$C$57,0)) * INDEX(数值规划表!$D$61:$D$71,monster!E160+1)*血量调整,2)</f>
        <v>7.13</v>
      </c>
      <c r="H160" s="15">
        <f>ROUND(INDEX(卡牌图鉴!$AA$2:$AA$53,MATCH(monster!C160,卡牌图鉴!$C$2:$C$53,0)) * INDEX(数值规划表!$C$61:$C$71,monster!E160+1),2)</f>
        <v>56.17</v>
      </c>
      <c r="I160" s="15">
        <f>ROUND(INDEX(卡牌图鉴!$AA$2:$AA$53,MATCH(monster!C160,卡牌图鉴!$C$2:$C$53,0)) * INDEX(数值规划表!$E$61:$E$71,monster!E160+1),2)</f>
        <v>1.69</v>
      </c>
      <c r="J160" s="15">
        <f>INDEX(卡牌图鉴!$J$2:$J$53,MATCH(monster!C160,卡牌图鉴!$C$2:$C$53,0))</f>
        <v>1.5</v>
      </c>
      <c r="K160" s="15">
        <f>INDEX(卡牌图鉴!$S$2:$S$53,MATCH(monster!C160,卡牌图鉴!$C$2:$C$53,0))</f>
        <v>1</v>
      </c>
      <c r="L160" s="15">
        <f>INDEX(卡牌图鉴!$H$2:$H$53,MATCH(monster!C160,卡牌图鉴!$C$2:$C$53,0))</f>
        <v>2</v>
      </c>
      <c r="M160" s="15">
        <f>INDEX(卡牌图鉴!$L$2:$L$53,MATCH(monster!C160,卡牌图鉴!$C$2:$C$53,0))</f>
        <v>2</v>
      </c>
      <c r="N160" s="15">
        <f>INDEX(卡牌图鉴!$AD$2:$AD$53,MATCH(monster!C160,卡牌图鉴!$C$2:$C$53,0))</f>
        <v>5</v>
      </c>
      <c r="O160" s="78">
        <f>INDEX(卡牌图鉴!$K$2:$K$53,MATCH(monster!C160,卡牌图鉴!$C$2:$C$53,0))</f>
        <v>2</v>
      </c>
    </row>
    <row r="161" spans="1:15" x14ac:dyDescent="0.15">
      <c r="A161" s="31">
        <v>1061</v>
      </c>
      <c r="B161" s="31" t="s">
        <v>199</v>
      </c>
      <c r="C161" s="31">
        <v>1056</v>
      </c>
      <c r="D161" s="15">
        <f>INDEX(卡牌图鉴!$S$2:$S$53,MATCH(monster!C161,卡牌图鉴!$C$2:$C$53,0))</f>
        <v>1</v>
      </c>
      <c r="E161" s="31">
        <v>5</v>
      </c>
      <c r="F161" s="15">
        <f>INT(INDEX(卡牌图鉴!$AB$2:$AB$53,MATCH(monster!C161,卡牌图鉴!$C$2:$C$57,0)) * INDEX(数值规划表!$B$61:$B$71,monster!E161+1) * 血量调整)</f>
        <v>266</v>
      </c>
      <c r="G161" s="15">
        <f>ROUND(INDEX(卡牌图鉴!$AB$2:$AB$53,MATCH(monster!C161,卡牌图鉴!$C$2:$C$57,0)) * INDEX(数值规划表!$D$61:$D$71,monster!E161+1)*血量调整,2)</f>
        <v>7.99</v>
      </c>
      <c r="H161" s="15">
        <f>ROUND(INDEX(卡牌图鉴!$AA$2:$AA$53,MATCH(monster!C161,卡牌图鉴!$C$2:$C$53,0)) * INDEX(数值规划表!$C$61:$C$71,monster!E161+1),2)</f>
        <v>62.92</v>
      </c>
      <c r="I161" s="15">
        <f>ROUND(INDEX(卡牌图鉴!$AA$2:$AA$53,MATCH(monster!C161,卡牌图鉴!$C$2:$C$53,0)) * INDEX(数值规划表!$E$61:$E$71,monster!E161+1),2)</f>
        <v>1.89</v>
      </c>
      <c r="J161" s="15">
        <f>INDEX(卡牌图鉴!$J$2:$J$53,MATCH(monster!C161,卡牌图鉴!$C$2:$C$53,0))</f>
        <v>1.5</v>
      </c>
      <c r="K161" s="15">
        <f>INDEX(卡牌图鉴!$S$2:$S$53,MATCH(monster!C161,卡牌图鉴!$C$2:$C$53,0))</f>
        <v>1</v>
      </c>
      <c r="L161" s="15">
        <f>INDEX(卡牌图鉴!$H$2:$H$53,MATCH(monster!C161,卡牌图鉴!$C$2:$C$53,0))</f>
        <v>2</v>
      </c>
      <c r="M161" s="15">
        <f>INDEX(卡牌图鉴!$L$2:$L$53,MATCH(monster!C161,卡牌图鉴!$C$2:$C$53,0))</f>
        <v>2</v>
      </c>
      <c r="N161" s="15">
        <f>INDEX(卡牌图鉴!$AD$2:$AD$53,MATCH(monster!C161,卡牌图鉴!$C$2:$C$53,0))</f>
        <v>5</v>
      </c>
      <c r="O161" s="78">
        <f>INDEX(卡牌图鉴!$K$2:$K$53,MATCH(monster!C161,卡牌图鉴!$C$2:$C$53,0))</f>
        <v>2</v>
      </c>
    </row>
    <row r="162" spans="1:15" x14ac:dyDescent="0.15">
      <c r="A162" s="31">
        <v>1062</v>
      </c>
      <c r="B162" s="31" t="s">
        <v>200</v>
      </c>
      <c r="C162" s="31">
        <v>1056</v>
      </c>
      <c r="D162" s="15">
        <f>INDEX(卡牌图鉴!$S$2:$S$53,MATCH(monster!C162,卡牌图鉴!$C$2:$C$53,0))</f>
        <v>1</v>
      </c>
      <c r="E162" s="31">
        <v>6</v>
      </c>
      <c r="F162" s="15">
        <f>INT(INDEX(卡牌图鉴!$AB$2:$AB$53,MATCH(monster!C162,卡牌图鉴!$C$2:$C$57,0)) * INDEX(数值规划表!$B$61:$B$71,monster!E162+1) * 血量调整)</f>
        <v>298</v>
      </c>
      <c r="G162" s="15">
        <f>ROUND(INDEX(卡牌图鉴!$AB$2:$AB$53,MATCH(monster!C162,卡牌图鉴!$C$2:$C$57,0)) * INDEX(数值规划表!$D$61:$D$71,monster!E162+1)*血量调整,2)</f>
        <v>8.9499999999999993</v>
      </c>
      <c r="H162" s="15">
        <f>ROUND(INDEX(卡牌图鉴!$AA$2:$AA$53,MATCH(monster!C162,卡牌图鉴!$C$2:$C$53,0)) * INDEX(数值规划表!$C$61:$C$71,monster!E162+1),2)</f>
        <v>70.47</v>
      </c>
      <c r="I162" s="15">
        <f>ROUND(INDEX(卡牌图鉴!$AA$2:$AA$53,MATCH(monster!C162,卡牌图鉴!$C$2:$C$53,0)) * INDEX(数值规划表!$E$61:$E$71,monster!E162+1),2)</f>
        <v>2.11</v>
      </c>
      <c r="J162" s="15">
        <f>INDEX(卡牌图鉴!$J$2:$J$53,MATCH(monster!C162,卡牌图鉴!$C$2:$C$53,0))</f>
        <v>1.5</v>
      </c>
      <c r="K162" s="15">
        <f>INDEX(卡牌图鉴!$S$2:$S$53,MATCH(monster!C162,卡牌图鉴!$C$2:$C$53,0))</f>
        <v>1</v>
      </c>
      <c r="L162" s="15">
        <f>INDEX(卡牌图鉴!$H$2:$H$53,MATCH(monster!C162,卡牌图鉴!$C$2:$C$53,0))</f>
        <v>2</v>
      </c>
      <c r="M162" s="15">
        <f>INDEX(卡牌图鉴!$L$2:$L$53,MATCH(monster!C162,卡牌图鉴!$C$2:$C$53,0))</f>
        <v>2</v>
      </c>
      <c r="N162" s="15">
        <f>INDEX(卡牌图鉴!$AD$2:$AD$53,MATCH(monster!C162,卡牌图鉴!$C$2:$C$53,0))</f>
        <v>5</v>
      </c>
      <c r="O162" s="78">
        <f>INDEX(卡牌图鉴!$K$2:$K$53,MATCH(monster!C162,卡牌图鉴!$C$2:$C$53,0))</f>
        <v>2</v>
      </c>
    </row>
    <row r="163" spans="1:15" x14ac:dyDescent="0.15">
      <c r="A163" s="31">
        <v>1063</v>
      </c>
      <c r="B163" s="31" t="s">
        <v>201</v>
      </c>
      <c r="C163" s="31">
        <v>1056</v>
      </c>
      <c r="D163" s="15">
        <f>INDEX(卡牌图鉴!$S$2:$S$53,MATCH(monster!C163,卡牌图鉴!$C$2:$C$53,0))</f>
        <v>1</v>
      </c>
      <c r="E163" s="31">
        <v>7</v>
      </c>
      <c r="F163" s="15">
        <f>INT(INDEX(卡牌图鉴!$AB$2:$AB$53,MATCH(monster!C163,卡牌图鉴!$C$2:$C$57,0)) * INDEX(数值规划表!$B$61:$B$71,monster!E163+1) * 血量调整)</f>
        <v>333</v>
      </c>
      <c r="G163" s="15">
        <f>ROUND(INDEX(卡牌图鉴!$AB$2:$AB$53,MATCH(monster!C163,卡牌图鉴!$C$2:$C$57,0)) * INDEX(数值规划表!$D$61:$D$71,monster!E163+1)*血量调整,2)</f>
        <v>10.02</v>
      </c>
      <c r="H163" s="15">
        <f>ROUND(INDEX(卡牌图鉴!$AA$2:$AA$53,MATCH(monster!C163,卡牌图鉴!$C$2:$C$53,0)) * INDEX(数值规划表!$C$61:$C$71,monster!E163+1),2)</f>
        <v>78.92</v>
      </c>
      <c r="I163" s="15">
        <f>ROUND(INDEX(卡牌图鉴!$AA$2:$AA$53,MATCH(monster!C163,卡牌图鉴!$C$2:$C$53,0)) * INDEX(数值规划表!$E$61:$E$71,monster!E163+1),2)</f>
        <v>2.37</v>
      </c>
      <c r="J163" s="15">
        <f>INDEX(卡牌图鉴!$J$2:$J$53,MATCH(monster!C163,卡牌图鉴!$C$2:$C$53,0))</f>
        <v>1.5</v>
      </c>
      <c r="K163" s="15">
        <f>INDEX(卡牌图鉴!$S$2:$S$53,MATCH(monster!C163,卡牌图鉴!$C$2:$C$53,0))</f>
        <v>1</v>
      </c>
      <c r="L163" s="15">
        <f>INDEX(卡牌图鉴!$H$2:$H$53,MATCH(monster!C163,卡牌图鉴!$C$2:$C$53,0))</f>
        <v>2</v>
      </c>
      <c r="M163" s="15">
        <f>INDEX(卡牌图鉴!$L$2:$L$53,MATCH(monster!C163,卡牌图鉴!$C$2:$C$53,0))</f>
        <v>2</v>
      </c>
      <c r="N163" s="15">
        <f>INDEX(卡牌图鉴!$AD$2:$AD$53,MATCH(monster!C163,卡牌图鉴!$C$2:$C$53,0))</f>
        <v>5</v>
      </c>
      <c r="O163" s="78">
        <f>INDEX(卡牌图鉴!$K$2:$K$53,MATCH(monster!C163,卡牌图鉴!$C$2:$C$53,0))</f>
        <v>2</v>
      </c>
    </row>
    <row r="164" spans="1:15" x14ac:dyDescent="0.15">
      <c r="A164" s="31">
        <v>1064</v>
      </c>
      <c r="B164" s="31" t="s">
        <v>202</v>
      </c>
      <c r="C164" s="31">
        <v>1056</v>
      </c>
      <c r="D164" s="15">
        <f>INDEX(卡牌图鉴!$S$2:$S$53,MATCH(monster!C164,卡牌图鉴!$C$2:$C$53,0))</f>
        <v>1</v>
      </c>
      <c r="E164" s="31">
        <v>8</v>
      </c>
      <c r="F164" s="15">
        <f>INT(INDEX(卡牌图鉴!$AB$2:$AB$53,MATCH(monster!C164,卡牌图鉴!$C$2:$C$57,0)) * INDEX(数值规划表!$B$61:$B$71,monster!E164+1) * 血量调整)</f>
        <v>374</v>
      </c>
      <c r="G164" s="15">
        <f>ROUND(INDEX(卡牌图鉴!$AB$2:$AB$53,MATCH(monster!C164,卡牌图鉴!$C$2:$C$57,0)) * INDEX(数值规划表!$D$61:$D$71,monster!E164+1)*血量调整,2)</f>
        <v>11.22</v>
      </c>
      <c r="H164" s="15">
        <f>ROUND(INDEX(卡牌图鉴!$AA$2:$AA$53,MATCH(monster!C164,卡牌图鉴!$C$2:$C$53,0)) * INDEX(数值规划表!$C$61:$C$71,monster!E164+1),2)</f>
        <v>88.39</v>
      </c>
      <c r="I164" s="15">
        <f>ROUND(INDEX(卡牌图鉴!$AA$2:$AA$53,MATCH(monster!C164,卡牌图鉴!$C$2:$C$53,0)) * INDEX(数值规划表!$E$61:$E$71,monster!E164+1),2)</f>
        <v>2.65</v>
      </c>
      <c r="J164" s="15">
        <f>INDEX(卡牌图鉴!$J$2:$J$53,MATCH(monster!C164,卡牌图鉴!$C$2:$C$53,0))</f>
        <v>1.5</v>
      </c>
      <c r="K164" s="15">
        <f>INDEX(卡牌图鉴!$S$2:$S$53,MATCH(monster!C164,卡牌图鉴!$C$2:$C$53,0))</f>
        <v>1</v>
      </c>
      <c r="L164" s="15">
        <f>INDEX(卡牌图鉴!$H$2:$H$53,MATCH(monster!C164,卡牌图鉴!$C$2:$C$53,0))</f>
        <v>2</v>
      </c>
      <c r="M164" s="15">
        <f>INDEX(卡牌图鉴!$L$2:$L$53,MATCH(monster!C164,卡牌图鉴!$C$2:$C$53,0))</f>
        <v>2</v>
      </c>
      <c r="N164" s="15">
        <f>INDEX(卡牌图鉴!$AD$2:$AD$53,MATCH(monster!C164,卡牌图鉴!$C$2:$C$53,0))</f>
        <v>5</v>
      </c>
      <c r="O164" s="78">
        <f>INDEX(卡牌图鉴!$K$2:$K$53,MATCH(monster!C164,卡牌图鉴!$C$2:$C$53,0))</f>
        <v>2</v>
      </c>
    </row>
    <row r="165" spans="1:15" x14ac:dyDescent="0.15">
      <c r="A165" s="31">
        <v>1065</v>
      </c>
      <c r="B165" s="31" t="s">
        <v>203</v>
      </c>
      <c r="C165" s="31">
        <v>1056</v>
      </c>
      <c r="D165" s="15">
        <f>INDEX(卡牌图鉴!$S$2:$S$53,MATCH(monster!C165,卡牌图鉴!$C$2:$C$53,0))</f>
        <v>1</v>
      </c>
      <c r="E165" s="31">
        <v>9</v>
      </c>
      <c r="F165" s="15">
        <f>INT(INDEX(卡牌图鉴!$AB$2:$AB$53,MATCH(monster!C165,卡牌图鉴!$C$2:$C$57,0)) * INDEX(数值规划表!$B$61:$B$71,monster!E165+1) * 血量调整)</f>
        <v>418</v>
      </c>
      <c r="G165" s="15">
        <f>ROUND(INDEX(卡牌图鉴!$AB$2:$AB$53,MATCH(monster!C165,卡牌图鉴!$C$2:$C$57,0)) * INDEX(数值规划表!$D$61:$D$71,monster!E165+1)*血量调整,2)</f>
        <v>12.57</v>
      </c>
      <c r="H165" s="15">
        <f>ROUND(INDEX(卡牌图鉴!$AA$2:$AA$53,MATCH(monster!C165,卡牌图鉴!$C$2:$C$53,0)) * INDEX(数值规划表!$C$61:$C$71,monster!E165+1),2)</f>
        <v>99</v>
      </c>
      <c r="I165" s="15">
        <f>ROUND(INDEX(卡牌图鉴!$AA$2:$AA$53,MATCH(monster!C165,卡牌图鉴!$C$2:$C$53,0)) * INDEX(数值规划表!$E$61:$E$71,monster!E165+1),2)</f>
        <v>2.97</v>
      </c>
      <c r="J165" s="15">
        <f>INDEX(卡牌图鉴!$J$2:$J$53,MATCH(monster!C165,卡牌图鉴!$C$2:$C$53,0))</f>
        <v>1.5</v>
      </c>
      <c r="K165" s="15">
        <f>INDEX(卡牌图鉴!$S$2:$S$53,MATCH(monster!C165,卡牌图鉴!$C$2:$C$53,0))</f>
        <v>1</v>
      </c>
      <c r="L165" s="15">
        <f>INDEX(卡牌图鉴!$H$2:$H$53,MATCH(monster!C165,卡牌图鉴!$C$2:$C$53,0))</f>
        <v>2</v>
      </c>
      <c r="M165" s="15">
        <f>INDEX(卡牌图鉴!$L$2:$L$53,MATCH(monster!C165,卡牌图鉴!$C$2:$C$53,0))</f>
        <v>2</v>
      </c>
      <c r="N165" s="15">
        <f>INDEX(卡牌图鉴!$AD$2:$AD$53,MATCH(monster!C165,卡牌图鉴!$C$2:$C$53,0))</f>
        <v>5</v>
      </c>
      <c r="O165" s="78">
        <f>INDEX(卡牌图鉴!$K$2:$K$53,MATCH(monster!C165,卡牌图鉴!$C$2:$C$53,0))</f>
        <v>2</v>
      </c>
    </row>
    <row r="166" spans="1:15" x14ac:dyDescent="0.15">
      <c r="A166" s="31">
        <v>1066</v>
      </c>
      <c r="B166" s="31" t="s">
        <v>204</v>
      </c>
      <c r="C166" s="31">
        <v>1056</v>
      </c>
      <c r="D166" s="15">
        <f>INDEX(卡牌图鉴!$S$2:$S$53,MATCH(monster!C166,卡牌图鉴!$C$2:$C$53,0))</f>
        <v>1</v>
      </c>
      <c r="E166" s="31">
        <v>10</v>
      </c>
      <c r="F166" s="15">
        <f>INT(INDEX(卡牌图鉴!$AB$2:$AB$53,MATCH(monster!C166,卡牌图鉴!$C$2:$C$57,0)) * INDEX(数值规划表!$B$61:$B$71,monster!E166+1) * 血量调整)</f>
        <v>469</v>
      </c>
      <c r="G166" s="15">
        <f>ROUND(INDEX(卡牌图鉴!$AB$2:$AB$53,MATCH(monster!C166,卡牌图鉴!$C$2:$C$57,0)) * INDEX(数值规划表!$D$61:$D$71,monster!E166+1)*血量调整,2)</f>
        <v>14.08</v>
      </c>
      <c r="H166" s="15">
        <f>ROUND(INDEX(卡牌图鉴!$AA$2:$AA$53,MATCH(monster!C166,卡牌图鉴!$C$2:$C$53,0)) * INDEX(数值规划表!$C$61:$C$71,monster!E166+1),2)</f>
        <v>110.88</v>
      </c>
      <c r="I166" s="15">
        <f>ROUND(INDEX(卡牌图鉴!$AA$2:$AA$53,MATCH(monster!C166,卡牌图鉴!$C$2:$C$53,0)) * INDEX(数值规划表!$E$61:$E$71,monster!E166+1),2)</f>
        <v>3.33</v>
      </c>
      <c r="J166" s="15">
        <f>INDEX(卡牌图鉴!$J$2:$J$53,MATCH(monster!C166,卡牌图鉴!$C$2:$C$53,0))</f>
        <v>1.5</v>
      </c>
      <c r="K166" s="15">
        <f>INDEX(卡牌图鉴!$S$2:$S$53,MATCH(monster!C166,卡牌图鉴!$C$2:$C$53,0))</f>
        <v>1</v>
      </c>
      <c r="L166" s="15">
        <f>INDEX(卡牌图鉴!$H$2:$H$53,MATCH(monster!C166,卡牌图鉴!$C$2:$C$53,0))</f>
        <v>2</v>
      </c>
      <c r="M166" s="15">
        <f>INDEX(卡牌图鉴!$L$2:$L$53,MATCH(monster!C166,卡牌图鉴!$C$2:$C$53,0))</f>
        <v>2</v>
      </c>
      <c r="N166" s="15">
        <f>INDEX(卡牌图鉴!$AD$2:$AD$53,MATCH(monster!C166,卡牌图鉴!$C$2:$C$53,0))</f>
        <v>5</v>
      </c>
      <c r="O166" s="78">
        <f>INDEX(卡牌图鉴!$K$2:$K$53,MATCH(monster!C166,卡牌图鉴!$C$2:$C$53,0))</f>
        <v>2</v>
      </c>
    </row>
    <row r="167" spans="1:15" x14ac:dyDescent="0.15">
      <c r="A167" s="31">
        <v>1184</v>
      </c>
      <c r="B167" s="31" t="s">
        <v>1359</v>
      </c>
      <c r="C167" s="31">
        <v>1184</v>
      </c>
      <c r="D167" s="15">
        <f>INDEX(卡牌图鉴!$S$2:$S$53,MATCH(monster!C167,卡牌图鉴!$C$2:$C$53,0))</f>
        <v>4</v>
      </c>
      <c r="E167" s="31">
        <v>0</v>
      </c>
      <c r="F167" s="15">
        <f>INT(INDEX(卡牌图鉴!$AB$2:$AB$53,MATCH(monster!C167,卡牌图鉴!$C$2:$C$57,0)) * INDEX(数值规划表!$B$61:$B$71,monster!E167+1) * 血量调整)</f>
        <v>2349</v>
      </c>
      <c r="G167" s="15">
        <f>ROUND(INDEX(卡牌图鉴!$AB$2:$AB$53,MATCH(monster!C167,卡牌图鉴!$C$2:$C$57,0)) * INDEX(数值规划表!$D$61:$D$71,monster!E167+1)*血量调整,2)</f>
        <v>70.489999999999995</v>
      </c>
      <c r="H167" s="15">
        <f>ROUND(INDEX(卡牌图鉴!$AA$2:$AA$53,MATCH(monster!C167,卡牌图鉴!$C$2:$C$53,0)) * INDEX(数值规划表!$C$61:$C$71,monster!E167+1),2)</f>
        <v>98.34</v>
      </c>
      <c r="I167" s="15">
        <f>ROUND(INDEX(卡牌图鉴!$AA$2:$AA$53,MATCH(monster!C167,卡牌图鉴!$C$2:$C$53,0)) * INDEX(数值规划表!$E$61:$E$71,monster!E167+1),2)</f>
        <v>2.95</v>
      </c>
      <c r="J167" s="15">
        <f>INDEX(卡牌图鉴!$J$2:$J$53,MATCH(monster!C167,卡牌图鉴!$C$2:$C$53,0))</f>
        <v>1.2</v>
      </c>
      <c r="K167" s="15">
        <f>INDEX(卡牌图鉴!$S$2:$S$53,MATCH(monster!C167,卡牌图鉴!$C$2:$C$53,0))</f>
        <v>4</v>
      </c>
      <c r="L167" s="15">
        <f>INDEX(卡牌图鉴!$H$2:$H$53,MATCH(monster!C167,卡牌图鉴!$C$2:$C$53,0))</f>
        <v>0.8</v>
      </c>
      <c r="M167" s="15">
        <f>INDEX(卡牌图鉴!$L$2:$L$53,MATCH(monster!C167,卡牌图鉴!$C$2:$C$53,0))</f>
        <v>7</v>
      </c>
      <c r="N167" s="15">
        <f>INDEX(卡牌图鉴!$AD$2:$AD$53,MATCH(monster!C167,卡牌图鉴!$C$2:$C$53,0))</f>
        <v>8</v>
      </c>
      <c r="O167" s="78">
        <f>INDEX(卡牌图鉴!$K$2:$K$53,MATCH(monster!C167,卡牌图鉴!$C$2:$C$53,0))</f>
        <v>7</v>
      </c>
    </row>
    <row r="168" spans="1:15" x14ac:dyDescent="0.15">
      <c r="A168" s="31">
        <v>1185</v>
      </c>
      <c r="B168" s="31" t="s">
        <v>1436</v>
      </c>
      <c r="C168" s="31">
        <v>1184</v>
      </c>
      <c r="D168" s="15">
        <f>INDEX(卡牌图鉴!$S$2:$S$53,MATCH(monster!C168,卡牌图鉴!$C$2:$C$53,0))</f>
        <v>4</v>
      </c>
      <c r="E168" s="31">
        <v>1</v>
      </c>
      <c r="F168" s="15">
        <f>INT(INDEX(卡牌图鉴!$AB$2:$AB$53,MATCH(monster!C168,卡牌图鉴!$C$2:$C$57,0)) * INDEX(数值规划表!$B$61:$B$71,monster!E168+1) * 血量调整)</f>
        <v>2631</v>
      </c>
      <c r="G168" s="15">
        <f>ROUND(INDEX(卡牌图鉴!$AB$2:$AB$53,MATCH(monster!C168,卡牌图鉴!$C$2:$C$57,0)) * INDEX(数值规划表!$D$61:$D$71,monster!E168+1)*血量调整,2)</f>
        <v>78.95</v>
      </c>
      <c r="H168" s="15">
        <f>ROUND(INDEX(卡牌图鉴!$AA$2:$AA$53,MATCH(monster!C168,卡牌图鉴!$C$2:$C$53,0)) * INDEX(数值规划表!$C$61:$C$71,monster!E168+1),2)</f>
        <v>110.14</v>
      </c>
      <c r="I168" s="15">
        <f>ROUND(INDEX(卡牌图鉴!$AA$2:$AA$53,MATCH(monster!C168,卡牌图鉴!$C$2:$C$53,0)) * INDEX(数值规划表!$E$61:$E$71,monster!E168+1),2)</f>
        <v>3.3</v>
      </c>
      <c r="J168" s="15">
        <f>INDEX(卡牌图鉴!$J$2:$J$53,MATCH(monster!C168,卡牌图鉴!$C$2:$C$53,0))</f>
        <v>1.2</v>
      </c>
      <c r="K168" s="15">
        <f>INDEX(卡牌图鉴!$S$2:$S$53,MATCH(monster!C168,卡牌图鉴!$C$2:$C$53,0))</f>
        <v>4</v>
      </c>
      <c r="L168" s="15">
        <f>INDEX(卡牌图鉴!$H$2:$H$53,MATCH(monster!C168,卡牌图鉴!$C$2:$C$53,0))</f>
        <v>0.8</v>
      </c>
      <c r="M168" s="15">
        <f>INDEX(卡牌图鉴!$L$2:$L$53,MATCH(monster!C168,卡牌图鉴!$C$2:$C$53,0))</f>
        <v>7</v>
      </c>
      <c r="N168" s="15">
        <f>INDEX(卡牌图鉴!$AD$2:$AD$53,MATCH(monster!C168,卡牌图鉴!$C$2:$C$53,0))</f>
        <v>8</v>
      </c>
      <c r="O168" s="78">
        <f>INDEX(卡牌图鉴!$K$2:$K$53,MATCH(monster!C168,卡牌图鉴!$C$2:$C$53,0))</f>
        <v>7</v>
      </c>
    </row>
    <row r="169" spans="1:15" x14ac:dyDescent="0.15">
      <c r="A169" s="31">
        <v>1186</v>
      </c>
      <c r="B169" s="31" t="s">
        <v>287</v>
      </c>
      <c r="C169" s="31">
        <v>1184</v>
      </c>
      <c r="D169" s="15">
        <f>INDEX(卡牌图鉴!$S$2:$S$53,MATCH(monster!C169,卡牌图鉴!$C$2:$C$53,0))</f>
        <v>4</v>
      </c>
      <c r="E169" s="31">
        <v>2</v>
      </c>
      <c r="F169" s="15">
        <f>INT(INDEX(卡牌图鉴!$AB$2:$AB$53,MATCH(monster!C169,卡牌图鉴!$C$2:$C$57,0)) * INDEX(数值规划表!$B$61:$B$71,monster!E169+1) * 血量调整)</f>
        <v>2947</v>
      </c>
      <c r="G169" s="15">
        <f>ROUND(INDEX(卡牌图鉴!$AB$2:$AB$53,MATCH(monster!C169,卡牌图鉴!$C$2:$C$57,0)) * INDEX(数值规划表!$D$61:$D$71,monster!E169+1)*血量调整,2)</f>
        <v>88.42</v>
      </c>
      <c r="H169" s="15">
        <f>ROUND(INDEX(卡牌图鉴!$AA$2:$AA$53,MATCH(monster!C169,卡牌图鉴!$C$2:$C$53,0)) * INDEX(数值规划表!$C$61:$C$71,monster!E169+1),2)</f>
        <v>123.36</v>
      </c>
      <c r="I169" s="15">
        <f>ROUND(INDEX(卡牌图鉴!$AA$2:$AA$53,MATCH(monster!C169,卡牌图鉴!$C$2:$C$53,0)) * INDEX(数值规划表!$E$61:$E$71,monster!E169+1),2)</f>
        <v>3.7</v>
      </c>
      <c r="J169" s="15">
        <f>INDEX(卡牌图鉴!$J$2:$J$53,MATCH(monster!C169,卡牌图鉴!$C$2:$C$53,0))</f>
        <v>1.2</v>
      </c>
      <c r="K169" s="15">
        <f>INDEX(卡牌图鉴!$S$2:$S$53,MATCH(monster!C169,卡牌图鉴!$C$2:$C$53,0))</f>
        <v>4</v>
      </c>
      <c r="L169" s="15">
        <f>INDEX(卡牌图鉴!$H$2:$H$53,MATCH(monster!C169,卡牌图鉴!$C$2:$C$53,0))</f>
        <v>0.8</v>
      </c>
      <c r="M169" s="15">
        <f>INDEX(卡牌图鉴!$L$2:$L$53,MATCH(monster!C169,卡牌图鉴!$C$2:$C$53,0))</f>
        <v>7</v>
      </c>
      <c r="N169" s="15">
        <f>INDEX(卡牌图鉴!$AD$2:$AD$53,MATCH(monster!C169,卡牌图鉴!$C$2:$C$53,0))</f>
        <v>8</v>
      </c>
      <c r="O169" s="78">
        <f>INDEX(卡牌图鉴!$K$2:$K$53,MATCH(monster!C169,卡牌图鉴!$C$2:$C$53,0))</f>
        <v>7</v>
      </c>
    </row>
    <row r="170" spans="1:15" x14ac:dyDescent="0.15">
      <c r="A170" s="31">
        <v>1187</v>
      </c>
      <c r="B170" s="31" t="s">
        <v>288</v>
      </c>
      <c r="C170" s="31">
        <v>1184</v>
      </c>
      <c r="D170" s="15">
        <f>INDEX(卡牌图鉴!$S$2:$S$53,MATCH(monster!C170,卡牌图鉴!$C$2:$C$53,0))</f>
        <v>4</v>
      </c>
      <c r="E170" s="31">
        <v>3</v>
      </c>
      <c r="F170" s="15">
        <f>INT(INDEX(卡牌图鉴!$AB$2:$AB$53,MATCH(monster!C170,卡牌图鉴!$C$2:$C$57,0)) * INDEX(数值规划表!$B$61:$B$71,monster!E170+1) * 血量调整)</f>
        <v>3301</v>
      </c>
      <c r="G170" s="15">
        <f>ROUND(INDEX(卡牌图鉴!$AB$2:$AB$53,MATCH(monster!C170,卡牌图鉴!$C$2:$C$57,0)) * INDEX(数值规划表!$D$61:$D$71,monster!E170+1)*血量调整,2)</f>
        <v>99.03</v>
      </c>
      <c r="H170" s="15">
        <f>ROUND(INDEX(卡牌图鉴!$AA$2:$AA$53,MATCH(monster!C170,卡牌图鉴!$C$2:$C$53,0)) * INDEX(数值规划表!$C$61:$C$71,monster!E170+1),2)</f>
        <v>138.16</v>
      </c>
      <c r="I170" s="15">
        <f>ROUND(INDEX(卡牌图鉴!$AA$2:$AA$53,MATCH(monster!C170,卡牌图鉴!$C$2:$C$53,0)) * INDEX(数值规划表!$E$61:$E$71,monster!E170+1),2)</f>
        <v>4.1399999999999997</v>
      </c>
      <c r="J170" s="15">
        <f>INDEX(卡牌图鉴!$J$2:$J$53,MATCH(monster!C170,卡牌图鉴!$C$2:$C$53,0))</f>
        <v>1.2</v>
      </c>
      <c r="K170" s="15">
        <f>INDEX(卡牌图鉴!$S$2:$S$53,MATCH(monster!C170,卡牌图鉴!$C$2:$C$53,0))</f>
        <v>4</v>
      </c>
      <c r="L170" s="15">
        <f>INDEX(卡牌图鉴!$H$2:$H$53,MATCH(monster!C170,卡牌图鉴!$C$2:$C$53,0))</f>
        <v>0.8</v>
      </c>
      <c r="M170" s="15">
        <f>INDEX(卡牌图鉴!$L$2:$L$53,MATCH(monster!C170,卡牌图鉴!$C$2:$C$53,0))</f>
        <v>7</v>
      </c>
      <c r="N170" s="15">
        <f>INDEX(卡牌图鉴!$AD$2:$AD$53,MATCH(monster!C170,卡牌图鉴!$C$2:$C$53,0))</f>
        <v>8</v>
      </c>
      <c r="O170" s="78">
        <f>INDEX(卡牌图鉴!$K$2:$K$53,MATCH(monster!C170,卡牌图鉴!$C$2:$C$53,0))</f>
        <v>7</v>
      </c>
    </row>
    <row r="171" spans="1:15" x14ac:dyDescent="0.15">
      <c r="A171" s="31">
        <v>1188</v>
      </c>
      <c r="B171" s="31" t="s">
        <v>289</v>
      </c>
      <c r="C171" s="31">
        <v>1184</v>
      </c>
      <c r="D171" s="15">
        <f>INDEX(卡牌图鉴!$S$2:$S$53,MATCH(monster!C171,卡牌图鉴!$C$2:$C$53,0))</f>
        <v>4</v>
      </c>
      <c r="E171" s="31">
        <v>4</v>
      </c>
      <c r="F171" s="15">
        <f>INT(INDEX(卡牌图鉴!$AB$2:$AB$53,MATCH(monster!C171,卡牌图鉴!$C$2:$C$57,0)) * INDEX(数值规划表!$B$61:$B$71,monster!E171+1) * 血量调整)</f>
        <v>3697</v>
      </c>
      <c r="G171" s="15">
        <f>ROUND(INDEX(卡牌图鉴!$AB$2:$AB$53,MATCH(monster!C171,卡牌图鉴!$C$2:$C$57,0)) * INDEX(数值规划表!$D$61:$D$71,monster!E171+1)*血量调整,2)</f>
        <v>110.92</v>
      </c>
      <c r="H171" s="15">
        <f>ROUND(INDEX(卡牌图鉴!$AA$2:$AA$53,MATCH(monster!C171,卡牌图鉴!$C$2:$C$53,0)) * INDEX(数值规划表!$C$61:$C$71,monster!E171+1),2)</f>
        <v>154.74</v>
      </c>
      <c r="I171" s="15">
        <f>ROUND(INDEX(卡牌图鉴!$AA$2:$AA$53,MATCH(monster!C171,卡牌图鉴!$C$2:$C$53,0)) * INDEX(数值规划表!$E$61:$E$71,monster!E171+1),2)</f>
        <v>4.6399999999999997</v>
      </c>
      <c r="J171" s="15">
        <f>INDEX(卡牌图鉴!$J$2:$J$53,MATCH(monster!C171,卡牌图鉴!$C$2:$C$53,0))</f>
        <v>1.2</v>
      </c>
      <c r="K171" s="15">
        <f>INDEX(卡牌图鉴!$S$2:$S$53,MATCH(monster!C171,卡牌图鉴!$C$2:$C$53,0))</f>
        <v>4</v>
      </c>
      <c r="L171" s="15">
        <f>INDEX(卡牌图鉴!$H$2:$H$53,MATCH(monster!C171,卡牌图鉴!$C$2:$C$53,0))</f>
        <v>0.8</v>
      </c>
      <c r="M171" s="15">
        <f>INDEX(卡牌图鉴!$L$2:$L$53,MATCH(monster!C171,卡牌图鉴!$C$2:$C$53,0))</f>
        <v>7</v>
      </c>
      <c r="N171" s="15">
        <f>INDEX(卡牌图鉴!$AD$2:$AD$53,MATCH(monster!C171,卡牌图鉴!$C$2:$C$53,0))</f>
        <v>8</v>
      </c>
      <c r="O171" s="78">
        <f>INDEX(卡牌图鉴!$K$2:$K$53,MATCH(monster!C171,卡牌图鉴!$C$2:$C$53,0))</f>
        <v>7</v>
      </c>
    </row>
    <row r="172" spans="1:15" x14ac:dyDescent="0.15">
      <c r="A172" s="31">
        <v>1189</v>
      </c>
      <c r="B172" s="31" t="s">
        <v>290</v>
      </c>
      <c r="C172" s="31">
        <v>1184</v>
      </c>
      <c r="D172" s="15">
        <f>INDEX(卡牌图鉴!$S$2:$S$53,MATCH(monster!C172,卡牌图鉴!$C$2:$C$53,0))</f>
        <v>4</v>
      </c>
      <c r="E172" s="31">
        <v>5</v>
      </c>
      <c r="F172" s="15">
        <f>INT(INDEX(卡牌图鉴!$AB$2:$AB$53,MATCH(monster!C172,卡牌图鉴!$C$2:$C$57,0)) * INDEX(数值规划表!$B$61:$B$71,monster!E172+1) * 血量调整)</f>
        <v>4140</v>
      </c>
      <c r="G172" s="15">
        <f>ROUND(INDEX(卡牌图鉴!$AB$2:$AB$53,MATCH(monster!C172,卡牌图鉴!$C$2:$C$57,0)) * INDEX(数值规划表!$D$61:$D$71,monster!E172+1)*血量调整,2)</f>
        <v>124.23</v>
      </c>
      <c r="H172" s="15">
        <f>ROUND(INDEX(卡牌图鉴!$AA$2:$AA$53,MATCH(monster!C172,卡牌图鉴!$C$2:$C$53,0)) * INDEX(数值规划表!$C$61:$C$71,monster!E172+1),2)</f>
        <v>173.31</v>
      </c>
      <c r="I172" s="15">
        <f>ROUND(INDEX(卡牌图鉴!$AA$2:$AA$53,MATCH(monster!C172,卡牌图鉴!$C$2:$C$53,0)) * INDEX(数值规划表!$E$61:$E$71,monster!E172+1),2)</f>
        <v>5.2</v>
      </c>
      <c r="J172" s="15">
        <f>INDEX(卡牌图鉴!$J$2:$J$53,MATCH(monster!C172,卡牌图鉴!$C$2:$C$53,0))</f>
        <v>1.2</v>
      </c>
      <c r="K172" s="15">
        <f>INDEX(卡牌图鉴!$S$2:$S$53,MATCH(monster!C172,卡牌图鉴!$C$2:$C$53,0))</f>
        <v>4</v>
      </c>
      <c r="L172" s="15">
        <f>INDEX(卡牌图鉴!$H$2:$H$53,MATCH(monster!C172,卡牌图鉴!$C$2:$C$53,0))</f>
        <v>0.8</v>
      </c>
      <c r="M172" s="15">
        <f>INDEX(卡牌图鉴!$L$2:$L$53,MATCH(monster!C172,卡牌图鉴!$C$2:$C$53,0))</f>
        <v>7</v>
      </c>
      <c r="N172" s="15">
        <f>INDEX(卡牌图鉴!$AD$2:$AD$53,MATCH(monster!C172,卡牌图鉴!$C$2:$C$53,0))</f>
        <v>8</v>
      </c>
      <c r="O172" s="78">
        <f>INDEX(卡牌图鉴!$K$2:$K$53,MATCH(monster!C172,卡牌图鉴!$C$2:$C$53,0))</f>
        <v>7</v>
      </c>
    </row>
    <row r="173" spans="1:15" x14ac:dyDescent="0.15">
      <c r="A173" s="31">
        <v>1190</v>
      </c>
      <c r="B173" s="31" t="s">
        <v>291</v>
      </c>
      <c r="C173" s="31">
        <v>1184</v>
      </c>
      <c r="D173" s="15">
        <f>INDEX(卡牌图鉴!$S$2:$S$53,MATCH(monster!C173,卡牌图鉴!$C$2:$C$53,0))</f>
        <v>4</v>
      </c>
      <c r="E173" s="31">
        <v>6</v>
      </c>
      <c r="F173" s="15">
        <f>INT(INDEX(卡牌图鉴!$AB$2:$AB$53,MATCH(monster!C173,卡牌图鉴!$C$2:$C$57,0)) * INDEX(数值规划表!$B$61:$B$71,monster!E173+1) * 血量调整)</f>
        <v>4637</v>
      </c>
      <c r="G173" s="15">
        <f>ROUND(INDEX(卡牌图鉴!$AB$2:$AB$53,MATCH(monster!C173,卡牌图鉴!$C$2:$C$57,0)) * INDEX(数值规划表!$D$61:$D$71,monster!E173+1)*血量调整,2)</f>
        <v>139.13999999999999</v>
      </c>
      <c r="H173" s="15">
        <f>ROUND(INDEX(卡牌图鉴!$AA$2:$AA$53,MATCH(monster!C173,卡牌图鉴!$C$2:$C$53,0)) * INDEX(数值规划表!$C$61:$C$71,monster!E173+1),2)</f>
        <v>194.11</v>
      </c>
      <c r="I173" s="15">
        <f>ROUND(INDEX(卡牌图鉴!$AA$2:$AA$53,MATCH(monster!C173,卡牌图鉴!$C$2:$C$53,0)) * INDEX(数值规划表!$E$61:$E$71,monster!E173+1),2)</f>
        <v>5.82</v>
      </c>
      <c r="J173" s="15">
        <f>INDEX(卡牌图鉴!$J$2:$J$53,MATCH(monster!C173,卡牌图鉴!$C$2:$C$53,0))</f>
        <v>1.2</v>
      </c>
      <c r="K173" s="15">
        <f>INDEX(卡牌图鉴!$S$2:$S$53,MATCH(monster!C173,卡牌图鉴!$C$2:$C$53,0))</f>
        <v>4</v>
      </c>
      <c r="L173" s="15">
        <f>INDEX(卡牌图鉴!$H$2:$H$53,MATCH(monster!C173,卡牌图鉴!$C$2:$C$53,0))</f>
        <v>0.8</v>
      </c>
      <c r="M173" s="15">
        <f>INDEX(卡牌图鉴!$L$2:$L$53,MATCH(monster!C173,卡牌图鉴!$C$2:$C$53,0))</f>
        <v>7</v>
      </c>
      <c r="N173" s="15">
        <f>INDEX(卡牌图鉴!$AD$2:$AD$53,MATCH(monster!C173,卡牌图鉴!$C$2:$C$53,0))</f>
        <v>8</v>
      </c>
      <c r="O173" s="78">
        <f>INDEX(卡牌图鉴!$K$2:$K$53,MATCH(monster!C173,卡牌图鉴!$C$2:$C$53,0))</f>
        <v>7</v>
      </c>
    </row>
    <row r="174" spans="1:15" x14ac:dyDescent="0.15">
      <c r="A174" s="31">
        <v>1191</v>
      </c>
      <c r="B174" s="31" t="s">
        <v>292</v>
      </c>
      <c r="C174" s="31">
        <v>1184</v>
      </c>
      <c r="D174" s="15">
        <f>INDEX(卡牌图鉴!$S$2:$S$53,MATCH(monster!C174,卡牌图鉴!$C$2:$C$53,0))</f>
        <v>4</v>
      </c>
      <c r="E174" s="31">
        <v>7</v>
      </c>
      <c r="F174" s="15">
        <f>INT(INDEX(卡牌图鉴!$AB$2:$AB$53,MATCH(monster!C174,卡牌图鉴!$C$2:$C$57,0)) * INDEX(数值规划表!$B$61:$B$71,monster!E174+1) * 血量调整)</f>
        <v>5194</v>
      </c>
      <c r="G174" s="15">
        <f>ROUND(INDEX(卡牌图鉴!$AB$2:$AB$53,MATCH(monster!C174,卡牌图鉴!$C$2:$C$57,0)) * INDEX(数值规划表!$D$61:$D$71,monster!E174+1)*血量调整,2)</f>
        <v>155.83000000000001</v>
      </c>
      <c r="H174" s="15">
        <f>ROUND(INDEX(卡牌图鉴!$AA$2:$AA$53,MATCH(monster!C174,卡牌图鉴!$C$2:$C$53,0)) * INDEX(数值规划表!$C$61:$C$71,monster!E174+1),2)</f>
        <v>217.4</v>
      </c>
      <c r="I174" s="15">
        <f>ROUND(INDEX(卡牌图鉴!$AA$2:$AA$53,MATCH(monster!C174,卡牌图鉴!$C$2:$C$53,0)) * INDEX(数值规划表!$E$61:$E$71,monster!E174+1),2)</f>
        <v>6.52</v>
      </c>
      <c r="J174" s="15">
        <f>INDEX(卡牌图鉴!$J$2:$J$53,MATCH(monster!C174,卡牌图鉴!$C$2:$C$53,0))</f>
        <v>1.2</v>
      </c>
      <c r="K174" s="15">
        <f>INDEX(卡牌图鉴!$S$2:$S$53,MATCH(monster!C174,卡牌图鉴!$C$2:$C$53,0))</f>
        <v>4</v>
      </c>
      <c r="L174" s="15">
        <f>INDEX(卡牌图鉴!$H$2:$H$53,MATCH(monster!C174,卡牌图鉴!$C$2:$C$53,0))</f>
        <v>0.8</v>
      </c>
      <c r="M174" s="15">
        <f>INDEX(卡牌图鉴!$L$2:$L$53,MATCH(monster!C174,卡牌图鉴!$C$2:$C$53,0))</f>
        <v>7</v>
      </c>
      <c r="N174" s="15">
        <f>INDEX(卡牌图鉴!$AD$2:$AD$53,MATCH(monster!C174,卡牌图鉴!$C$2:$C$53,0))</f>
        <v>8</v>
      </c>
      <c r="O174" s="78">
        <f>INDEX(卡牌图鉴!$K$2:$K$53,MATCH(monster!C174,卡牌图鉴!$C$2:$C$53,0))</f>
        <v>7</v>
      </c>
    </row>
    <row r="175" spans="1:15" x14ac:dyDescent="0.15">
      <c r="A175" s="31">
        <v>1192</v>
      </c>
      <c r="B175" s="31" t="s">
        <v>293</v>
      </c>
      <c r="C175" s="31">
        <v>1184</v>
      </c>
      <c r="D175" s="15">
        <f>INDEX(卡牌图鉴!$S$2:$S$53,MATCH(monster!C175,卡牌图鉴!$C$2:$C$53,0))</f>
        <v>4</v>
      </c>
      <c r="E175" s="31">
        <v>8</v>
      </c>
      <c r="F175" s="15">
        <f>INT(INDEX(卡牌图鉴!$AB$2:$AB$53,MATCH(monster!C175,卡牌图鉴!$C$2:$C$57,0)) * INDEX(数值规划表!$B$61:$B$71,monster!E175+1) * 血量调整)</f>
        <v>5817</v>
      </c>
      <c r="G175" s="15">
        <f>ROUND(INDEX(卡牌图鉴!$AB$2:$AB$53,MATCH(monster!C175,卡牌图鉴!$C$2:$C$57,0)) * INDEX(数值规划表!$D$61:$D$71,monster!E175+1)*血量调整,2)</f>
        <v>174.53</v>
      </c>
      <c r="H175" s="15">
        <f>ROUND(INDEX(卡牌图鉴!$AA$2:$AA$53,MATCH(monster!C175,卡牌图鉴!$C$2:$C$53,0)) * INDEX(数值规划表!$C$61:$C$71,monster!E175+1),2)</f>
        <v>243.49</v>
      </c>
      <c r="I175" s="15">
        <f>ROUND(INDEX(卡牌图鉴!$AA$2:$AA$53,MATCH(monster!C175,卡牌图鉴!$C$2:$C$53,0)) * INDEX(数值规划表!$E$61:$E$71,monster!E175+1),2)</f>
        <v>7.3</v>
      </c>
      <c r="J175" s="15">
        <f>INDEX(卡牌图鉴!$J$2:$J$53,MATCH(monster!C175,卡牌图鉴!$C$2:$C$53,0))</f>
        <v>1.2</v>
      </c>
      <c r="K175" s="15">
        <f>INDEX(卡牌图鉴!$S$2:$S$53,MATCH(monster!C175,卡牌图鉴!$C$2:$C$53,0))</f>
        <v>4</v>
      </c>
      <c r="L175" s="15">
        <f>INDEX(卡牌图鉴!$H$2:$H$53,MATCH(monster!C175,卡牌图鉴!$C$2:$C$53,0))</f>
        <v>0.8</v>
      </c>
      <c r="M175" s="15">
        <f>INDEX(卡牌图鉴!$L$2:$L$53,MATCH(monster!C175,卡牌图鉴!$C$2:$C$53,0))</f>
        <v>7</v>
      </c>
      <c r="N175" s="15">
        <f>INDEX(卡牌图鉴!$AD$2:$AD$53,MATCH(monster!C175,卡牌图鉴!$C$2:$C$53,0))</f>
        <v>8</v>
      </c>
      <c r="O175" s="78">
        <f>INDEX(卡牌图鉴!$K$2:$K$53,MATCH(monster!C175,卡牌图鉴!$C$2:$C$53,0))</f>
        <v>7</v>
      </c>
    </row>
    <row r="176" spans="1:15" x14ac:dyDescent="0.15">
      <c r="A176" s="31">
        <v>1193</v>
      </c>
      <c r="B176" s="31" t="s">
        <v>294</v>
      </c>
      <c r="C176" s="31">
        <v>1184</v>
      </c>
      <c r="D176" s="15">
        <f>INDEX(卡牌图鉴!$S$2:$S$53,MATCH(monster!C176,卡牌图鉴!$C$2:$C$53,0))</f>
        <v>4</v>
      </c>
      <c r="E176" s="31">
        <v>9</v>
      </c>
      <c r="F176" s="15">
        <f>INT(INDEX(卡牌图鉴!$AB$2:$AB$53,MATCH(monster!C176,卡牌图鉴!$C$2:$C$57,0)) * INDEX(数值规划表!$B$61:$B$71,monster!E176+1) * 血量调整)</f>
        <v>6515</v>
      </c>
      <c r="G176" s="15">
        <f>ROUND(INDEX(卡牌图鉴!$AB$2:$AB$53,MATCH(monster!C176,卡牌图鉴!$C$2:$C$57,0)) * INDEX(数值规划表!$D$61:$D$71,monster!E176+1)*血量调整,2)</f>
        <v>195.48</v>
      </c>
      <c r="H176" s="15">
        <f>ROUND(INDEX(卡牌图鉴!$AA$2:$AA$53,MATCH(monster!C176,卡牌图鉴!$C$2:$C$53,0)) * INDEX(数值规划表!$C$61:$C$71,monster!E176+1),2)</f>
        <v>272.7</v>
      </c>
      <c r="I176" s="15">
        <f>ROUND(INDEX(卡牌图鉴!$AA$2:$AA$53,MATCH(monster!C176,卡牌图鉴!$C$2:$C$53,0)) * INDEX(数值规划表!$E$61:$E$71,monster!E176+1),2)</f>
        <v>8.18</v>
      </c>
      <c r="J176" s="15">
        <f>INDEX(卡牌图鉴!$J$2:$J$53,MATCH(monster!C176,卡牌图鉴!$C$2:$C$53,0))</f>
        <v>1.2</v>
      </c>
      <c r="K176" s="15">
        <f>INDEX(卡牌图鉴!$S$2:$S$53,MATCH(monster!C176,卡牌图鉴!$C$2:$C$53,0))</f>
        <v>4</v>
      </c>
      <c r="L176" s="15">
        <f>INDEX(卡牌图鉴!$H$2:$H$53,MATCH(monster!C176,卡牌图鉴!$C$2:$C$53,0))</f>
        <v>0.8</v>
      </c>
      <c r="M176" s="15">
        <f>INDEX(卡牌图鉴!$L$2:$L$53,MATCH(monster!C176,卡牌图鉴!$C$2:$C$53,0))</f>
        <v>7</v>
      </c>
      <c r="N176" s="15">
        <f>INDEX(卡牌图鉴!$AD$2:$AD$53,MATCH(monster!C176,卡牌图鉴!$C$2:$C$53,0))</f>
        <v>8</v>
      </c>
      <c r="O176" s="78">
        <f>INDEX(卡牌图鉴!$K$2:$K$53,MATCH(monster!C176,卡牌图鉴!$C$2:$C$53,0))</f>
        <v>7</v>
      </c>
    </row>
    <row r="177" spans="1:15" x14ac:dyDescent="0.15">
      <c r="A177" s="31">
        <v>1194</v>
      </c>
      <c r="B177" s="31" t="s">
        <v>295</v>
      </c>
      <c r="C177" s="31">
        <v>1184</v>
      </c>
      <c r="D177" s="15">
        <f>INDEX(卡牌图鉴!$S$2:$S$53,MATCH(monster!C177,卡牌图鉴!$C$2:$C$53,0))</f>
        <v>4</v>
      </c>
      <c r="E177" s="31">
        <v>10</v>
      </c>
      <c r="F177" s="15">
        <f>INT(INDEX(卡牌图鉴!$AB$2:$AB$53,MATCH(monster!C177,卡牌图鉴!$C$2:$C$57,0)) * INDEX(数值规划表!$B$61:$B$71,monster!E177+1) * 血量调整)</f>
        <v>7297</v>
      </c>
      <c r="G177" s="15">
        <f>ROUND(INDEX(卡牌图鉴!$AB$2:$AB$53,MATCH(monster!C177,卡牌图鉴!$C$2:$C$57,0)) * INDEX(数值规划表!$D$61:$D$71,monster!E177+1)*血量调整,2)</f>
        <v>218.93</v>
      </c>
      <c r="H177" s="15">
        <f>ROUND(INDEX(卡牌图鉴!$AA$2:$AA$53,MATCH(monster!C177,卡牌图鉴!$C$2:$C$53,0)) * INDEX(数值规划表!$C$61:$C$71,monster!E177+1),2)</f>
        <v>305.43</v>
      </c>
      <c r="I177" s="15">
        <f>ROUND(INDEX(卡牌图鉴!$AA$2:$AA$53,MATCH(monster!C177,卡牌图鉴!$C$2:$C$53,0)) * INDEX(数值规划表!$E$61:$E$71,monster!E177+1),2)</f>
        <v>9.16</v>
      </c>
      <c r="J177" s="15">
        <f>INDEX(卡牌图鉴!$J$2:$J$53,MATCH(monster!C177,卡牌图鉴!$C$2:$C$53,0))</f>
        <v>1.2</v>
      </c>
      <c r="K177" s="15">
        <f>INDEX(卡牌图鉴!$S$2:$S$53,MATCH(monster!C177,卡牌图鉴!$C$2:$C$53,0))</f>
        <v>4</v>
      </c>
      <c r="L177" s="15">
        <f>INDEX(卡牌图鉴!$H$2:$H$53,MATCH(monster!C177,卡牌图鉴!$C$2:$C$53,0))</f>
        <v>0.8</v>
      </c>
      <c r="M177" s="15">
        <f>INDEX(卡牌图鉴!$L$2:$L$53,MATCH(monster!C177,卡牌图鉴!$C$2:$C$53,0))</f>
        <v>7</v>
      </c>
      <c r="N177" s="15">
        <f>INDEX(卡牌图鉴!$AD$2:$AD$53,MATCH(monster!C177,卡牌图鉴!$C$2:$C$53,0))</f>
        <v>8</v>
      </c>
      <c r="O177" s="78">
        <f>INDEX(卡牌图鉴!$K$2:$K$53,MATCH(monster!C177,卡牌图鉴!$C$2:$C$53,0))</f>
        <v>7</v>
      </c>
    </row>
    <row r="178" spans="1:15" x14ac:dyDescent="0.15">
      <c r="A178" s="31">
        <v>1450</v>
      </c>
      <c r="B178" s="31" t="s">
        <v>503</v>
      </c>
      <c r="C178" s="31">
        <v>1450</v>
      </c>
      <c r="D178" s="15">
        <f>INDEX(卡牌图鉴!$S$2:$S$53,MATCH(monster!C178,卡牌图鉴!$C$2:$C$53,0))</f>
        <v>3</v>
      </c>
      <c r="E178" s="31">
        <v>0</v>
      </c>
      <c r="F178" s="15">
        <f>INT(INDEX(卡牌图鉴!$AB$2:$AB$53,MATCH(monster!C178,卡牌图鉴!$C$2:$C$57,0)) * INDEX(数值规划表!$B$61:$B$71,monster!E178+1) * 血量调整)</f>
        <v>204</v>
      </c>
      <c r="G178" s="15">
        <f>ROUND(INDEX(卡牌图鉴!$AB$2:$AB$53,MATCH(monster!C178,卡牌图鉴!$C$2:$C$57,0)) * INDEX(数值规划表!$D$61:$D$71,monster!E178+1)*血量调整,2)</f>
        <v>6.14</v>
      </c>
      <c r="H178" s="15">
        <f>ROUND(INDEX(卡牌图鉴!$AA$2:$AA$53,MATCH(monster!C178,卡牌图鉴!$C$2:$C$53,0)) * INDEX(数值规划表!$C$61:$C$71,monster!E178+1),2)</f>
        <v>58.94</v>
      </c>
      <c r="I178" s="15">
        <f>ROUND(INDEX(卡牌图鉴!$AA$2:$AA$53,MATCH(monster!C178,卡牌图鉴!$C$2:$C$53,0)) * INDEX(数值规划表!$E$61:$E$71,monster!E178+1),2)</f>
        <v>1.77</v>
      </c>
      <c r="J178" s="15">
        <f>INDEX(卡牌图鉴!$J$2:$J$53,MATCH(monster!C178,卡牌图鉴!$C$2:$C$53,0))</f>
        <v>5</v>
      </c>
      <c r="K178" s="15">
        <f>INDEX(卡牌图鉴!$S$2:$S$53,MATCH(monster!C178,卡牌图鉴!$C$2:$C$53,0))</f>
        <v>3</v>
      </c>
      <c r="L178" s="15">
        <f>INDEX(卡牌图鉴!$H$2:$H$53,MATCH(monster!C178,卡牌图鉴!$C$2:$C$53,0))</f>
        <v>1.4</v>
      </c>
      <c r="M178" s="15">
        <f>INDEX(卡牌图鉴!$L$2:$L$53,MATCH(monster!C178,卡牌图鉴!$C$2:$C$53,0))</f>
        <v>3</v>
      </c>
      <c r="N178" s="15">
        <f>INDEX(卡牌图鉴!$AD$2:$AD$53,MATCH(monster!C178,卡牌图鉴!$C$2:$C$53,0))</f>
        <v>8</v>
      </c>
      <c r="O178" s="78">
        <f>INDEX(卡牌图鉴!$K$2:$K$53,MATCH(monster!C178,卡牌图鉴!$C$2:$C$53,0))</f>
        <v>3</v>
      </c>
    </row>
    <row r="179" spans="1:15" x14ac:dyDescent="0.15">
      <c r="A179" s="31">
        <v>1451</v>
      </c>
      <c r="B179" s="31" t="s">
        <v>1437</v>
      </c>
      <c r="C179" s="31">
        <v>1450</v>
      </c>
      <c r="D179" s="15">
        <f>INDEX(卡牌图鉴!$S$2:$S$53,MATCH(monster!C179,卡牌图鉴!$C$2:$C$53,0))</f>
        <v>3</v>
      </c>
      <c r="E179" s="31">
        <v>1</v>
      </c>
      <c r="F179" s="15">
        <f>INT(INDEX(卡牌图鉴!$AB$2:$AB$53,MATCH(monster!C179,卡牌图鉴!$C$2:$C$57,0)) * INDEX(数值规划表!$B$61:$B$71,monster!E179+1) * 血量调整)</f>
        <v>229</v>
      </c>
      <c r="G179" s="15">
        <f>ROUND(INDEX(卡牌图鉴!$AB$2:$AB$53,MATCH(monster!C179,卡牌图鉴!$C$2:$C$57,0)) * INDEX(数值规划表!$D$61:$D$71,monster!E179+1)*血量调整,2)</f>
        <v>6.87</v>
      </c>
      <c r="H179" s="15">
        <f>ROUND(INDEX(卡牌图鉴!$AA$2:$AA$53,MATCH(monster!C179,卡牌图鉴!$C$2:$C$53,0)) * INDEX(数值规划表!$C$61:$C$71,monster!E179+1),2)</f>
        <v>66.010000000000005</v>
      </c>
      <c r="I179" s="15">
        <f>ROUND(INDEX(卡牌图鉴!$AA$2:$AA$53,MATCH(monster!C179,卡牌图鉴!$C$2:$C$53,0)) * INDEX(数值规划表!$E$61:$E$71,monster!E179+1),2)</f>
        <v>1.98</v>
      </c>
      <c r="J179" s="15">
        <f>INDEX(卡牌图鉴!$J$2:$J$53,MATCH(monster!C179,卡牌图鉴!$C$2:$C$53,0))</f>
        <v>5</v>
      </c>
      <c r="K179" s="15">
        <f>INDEX(卡牌图鉴!$S$2:$S$53,MATCH(monster!C179,卡牌图鉴!$C$2:$C$53,0))</f>
        <v>3</v>
      </c>
      <c r="L179" s="15">
        <f>INDEX(卡牌图鉴!$H$2:$H$53,MATCH(monster!C179,卡牌图鉴!$C$2:$C$53,0))</f>
        <v>1.4</v>
      </c>
      <c r="M179" s="15">
        <f>INDEX(卡牌图鉴!$L$2:$L$53,MATCH(monster!C179,卡牌图鉴!$C$2:$C$53,0))</f>
        <v>3</v>
      </c>
      <c r="N179" s="15">
        <f>INDEX(卡牌图鉴!$AD$2:$AD$53,MATCH(monster!C179,卡牌图鉴!$C$2:$C$53,0))</f>
        <v>8</v>
      </c>
      <c r="O179" s="78">
        <f>INDEX(卡牌图鉴!$K$2:$K$53,MATCH(monster!C179,卡牌图鉴!$C$2:$C$53,0))</f>
        <v>3</v>
      </c>
    </row>
    <row r="180" spans="1:15" x14ac:dyDescent="0.15">
      <c r="A180" s="31">
        <v>1452</v>
      </c>
      <c r="B180" s="31" t="s">
        <v>504</v>
      </c>
      <c r="C180" s="31">
        <v>1450</v>
      </c>
      <c r="D180" s="15">
        <f>INDEX(卡牌图鉴!$S$2:$S$53,MATCH(monster!C180,卡牌图鉴!$C$2:$C$53,0))</f>
        <v>3</v>
      </c>
      <c r="E180" s="31">
        <v>2</v>
      </c>
      <c r="F180" s="15">
        <f>INT(INDEX(卡牌图鉴!$AB$2:$AB$53,MATCH(monster!C180,卡牌图鉴!$C$2:$C$57,0)) * INDEX(数值规划表!$B$61:$B$71,monster!E180+1) * 血量调整)</f>
        <v>256</v>
      </c>
      <c r="G180" s="15">
        <f>ROUND(INDEX(卡牌图鉴!$AB$2:$AB$53,MATCH(monster!C180,卡牌图鉴!$C$2:$C$57,0)) * INDEX(数值规划表!$D$61:$D$71,monster!E180+1)*血量调整,2)</f>
        <v>7.7</v>
      </c>
      <c r="H180" s="15">
        <f>ROUND(INDEX(卡牌图鉴!$AA$2:$AA$53,MATCH(monster!C180,卡牌图鉴!$C$2:$C$53,0)) * INDEX(数值规划表!$C$61:$C$71,monster!E180+1),2)</f>
        <v>73.930000000000007</v>
      </c>
      <c r="I180" s="15">
        <f>ROUND(INDEX(卡牌图鉴!$AA$2:$AA$53,MATCH(monster!C180,卡牌图鉴!$C$2:$C$53,0)) * INDEX(数值规划表!$E$61:$E$71,monster!E180+1),2)</f>
        <v>2.2200000000000002</v>
      </c>
      <c r="J180" s="15">
        <f>INDEX(卡牌图鉴!$J$2:$J$53,MATCH(monster!C180,卡牌图鉴!$C$2:$C$53,0))</f>
        <v>5</v>
      </c>
      <c r="K180" s="15">
        <f>INDEX(卡牌图鉴!$S$2:$S$53,MATCH(monster!C180,卡牌图鉴!$C$2:$C$53,0))</f>
        <v>3</v>
      </c>
      <c r="L180" s="15">
        <f>INDEX(卡牌图鉴!$H$2:$H$53,MATCH(monster!C180,卡牌图鉴!$C$2:$C$53,0))</f>
        <v>1.4</v>
      </c>
      <c r="M180" s="15">
        <f>INDEX(卡牌图鉴!$L$2:$L$53,MATCH(monster!C180,卡牌图鉴!$C$2:$C$53,0))</f>
        <v>3</v>
      </c>
      <c r="N180" s="15">
        <f>INDEX(卡牌图鉴!$AD$2:$AD$53,MATCH(monster!C180,卡牌图鉴!$C$2:$C$53,0))</f>
        <v>8</v>
      </c>
      <c r="O180" s="78">
        <f>INDEX(卡牌图鉴!$K$2:$K$53,MATCH(monster!C180,卡牌图鉴!$C$2:$C$53,0))</f>
        <v>3</v>
      </c>
    </row>
    <row r="181" spans="1:15" x14ac:dyDescent="0.15">
      <c r="A181" s="31">
        <v>1453</v>
      </c>
      <c r="B181" s="31" t="s">
        <v>505</v>
      </c>
      <c r="C181" s="31">
        <v>1450</v>
      </c>
      <c r="D181" s="15">
        <f>INDEX(卡牌图鉴!$S$2:$S$53,MATCH(monster!C181,卡牌图鉴!$C$2:$C$53,0))</f>
        <v>3</v>
      </c>
      <c r="E181" s="31">
        <v>3</v>
      </c>
      <c r="F181" s="15">
        <f>INT(INDEX(卡牌图鉴!$AB$2:$AB$53,MATCH(monster!C181,卡牌图鉴!$C$2:$C$57,0)) * INDEX(数值规划表!$B$61:$B$71,monster!E181+1) * 血量调整)</f>
        <v>287</v>
      </c>
      <c r="G181" s="15">
        <f>ROUND(INDEX(卡牌图鉴!$AB$2:$AB$53,MATCH(monster!C181,卡牌图鉴!$C$2:$C$57,0)) * INDEX(数值规划表!$D$61:$D$71,monster!E181+1)*血量调整,2)</f>
        <v>8.6199999999999992</v>
      </c>
      <c r="H181" s="15">
        <f>ROUND(INDEX(卡牌图鉴!$AA$2:$AA$53,MATCH(monster!C181,卡牌图鉴!$C$2:$C$53,0)) * INDEX(数值规划表!$C$61:$C$71,monster!E181+1),2)</f>
        <v>82.81</v>
      </c>
      <c r="I181" s="15">
        <f>ROUND(INDEX(卡牌图鉴!$AA$2:$AA$53,MATCH(monster!C181,卡牌图鉴!$C$2:$C$53,0)) * INDEX(数值规划表!$E$61:$E$71,monster!E181+1),2)</f>
        <v>2.48</v>
      </c>
      <c r="J181" s="15">
        <f>INDEX(卡牌图鉴!$J$2:$J$53,MATCH(monster!C181,卡牌图鉴!$C$2:$C$53,0))</f>
        <v>5</v>
      </c>
      <c r="K181" s="15">
        <f>INDEX(卡牌图鉴!$S$2:$S$53,MATCH(monster!C181,卡牌图鉴!$C$2:$C$53,0))</f>
        <v>3</v>
      </c>
      <c r="L181" s="15">
        <f>INDEX(卡牌图鉴!$H$2:$H$53,MATCH(monster!C181,卡牌图鉴!$C$2:$C$53,0))</f>
        <v>1.4</v>
      </c>
      <c r="M181" s="15">
        <f>INDEX(卡牌图鉴!$L$2:$L$53,MATCH(monster!C181,卡牌图鉴!$C$2:$C$53,0))</f>
        <v>3</v>
      </c>
      <c r="N181" s="15">
        <f>INDEX(卡牌图鉴!$AD$2:$AD$53,MATCH(monster!C181,卡牌图鉴!$C$2:$C$53,0))</f>
        <v>8</v>
      </c>
      <c r="O181" s="78">
        <f>INDEX(卡牌图鉴!$K$2:$K$53,MATCH(monster!C181,卡牌图鉴!$C$2:$C$53,0))</f>
        <v>3</v>
      </c>
    </row>
    <row r="182" spans="1:15" x14ac:dyDescent="0.15">
      <c r="A182" s="31">
        <v>1454</v>
      </c>
      <c r="B182" s="31" t="s">
        <v>506</v>
      </c>
      <c r="C182" s="31">
        <v>1450</v>
      </c>
      <c r="D182" s="15">
        <f>INDEX(卡牌图鉴!$S$2:$S$53,MATCH(monster!C182,卡牌图鉴!$C$2:$C$53,0))</f>
        <v>3</v>
      </c>
      <c r="E182" s="31">
        <v>4</v>
      </c>
      <c r="F182" s="15">
        <f>INT(INDEX(卡牌图鉴!$AB$2:$AB$53,MATCH(monster!C182,卡牌图鉴!$C$2:$C$57,0)) * INDEX(数值规划表!$B$61:$B$71,monster!E182+1) * 血量调整)</f>
        <v>321</v>
      </c>
      <c r="G182" s="15">
        <f>ROUND(INDEX(卡牌图鉴!$AB$2:$AB$53,MATCH(monster!C182,卡牌图鉴!$C$2:$C$57,0)) * INDEX(数值规划表!$D$61:$D$71,monster!E182+1)*血量调整,2)</f>
        <v>9.65</v>
      </c>
      <c r="H182" s="15">
        <f>ROUND(INDEX(卡牌图鉴!$AA$2:$AA$53,MATCH(monster!C182,卡牌图鉴!$C$2:$C$53,0)) * INDEX(数值规划表!$C$61:$C$71,monster!E182+1),2)</f>
        <v>92.74</v>
      </c>
      <c r="I182" s="15">
        <f>ROUND(INDEX(卡牌图鉴!$AA$2:$AA$53,MATCH(monster!C182,卡牌图鉴!$C$2:$C$53,0)) * INDEX(数值规划表!$E$61:$E$71,monster!E182+1),2)</f>
        <v>2.78</v>
      </c>
      <c r="J182" s="15">
        <f>INDEX(卡牌图鉴!$J$2:$J$53,MATCH(monster!C182,卡牌图鉴!$C$2:$C$53,0))</f>
        <v>5</v>
      </c>
      <c r="K182" s="15">
        <f>INDEX(卡牌图鉴!$S$2:$S$53,MATCH(monster!C182,卡牌图鉴!$C$2:$C$53,0))</f>
        <v>3</v>
      </c>
      <c r="L182" s="15">
        <f>INDEX(卡牌图鉴!$H$2:$H$53,MATCH(monster!C182,卡牌图鉴!$C$2:$C$53,0))</f>
        <v>1.4</v>
      </c>
      <c r="M182" s="15">
        <f>INDEX(卡牌图鉴!$L$2:$L$53,MATCH(monster!C182,卡牌图鉴!$C$2:$C$53,0))</f>
        <v>3</v>
      </c>
      <c r="N182" s="15">
        <f>INDEX(卡牌图鉴!$AD$2:$AD$53,MATCH(monster!C182,卡牌图鉴!$C$2:$C$53,0))</f>
        <v>8</v>
      </c>
      <c r="O182" s="78">
        <f>INDEX(卡牌图鉴!$K$2:$K$53,MATCH(monster!C182,卡牌图鉴!$C$2:$C$53,0))</f>
        <v>3</v>
      </c>
    </row>
    <row r="183" spans="1:15" x14ac:dyDescent="0.15">
      <c r="A183" s="31">
        <v>1455</v>
      </c>
      <c r="B183" s="31" t="s">
        <v>507</v>
      </c>
      <c r="C183" s="31">
        <v>1450</v>
      </c>
      <c r="D183" s="15">
        <f>INDEX(卡牌图鉴!$S$2:$S$53,MATCH(monster!C183,卡牌图鉴!$C$2:$C$53,0))</f>
        <v>3</v>
      </c>
      <c r="E183" s="31">
        <v>5</v>
      </c>
      <c r="F183" s="15">
        <f>INT(INDEX(卡牌图鉴!$AB$2:$AB$53,MATCH(monster!C183,卡牌图鉴!$C$2:$C$57,0)) * INDEX(数值规划表!$B$61:$B$71,monster!E183+1) * 血量调整)</f>
        <v>360</v>
      </c>
      <c r="G183" s="15">
        <f>ROUND(INDEX(卡牌图鉴!$AB$2:$AB$53,MATCH(monster!C183,卡牌图鉴!$C$2:$C$57,0)) * INDEX(数值规划表!$D$61:$D$71,monster!E183+1)*血量调整,2)</f>
        <v>10.81</v>
      </c>
      <c r="H183" s="15">
        <f>ROUND(INDEX(卡牌图鉴!$AA$2:$AA$53,MATCH(monster!C183,卡牌图鉴!$C$2:$C$53,0)) * INDEX(数值规划表!$C$61:$C$71,monster!E183+1),2)</f>
        <v>103.87</v>
      </c>
      <c r="I183" s="15">
        <f>ROUND(INDEX(卡牌图鉴!$AA$2:$AA$53,MATCH(monster!C183,卡牌图鉴!$C$2:$C$53,0)) * INDEX(数值规划表!$E$61:$E$71,monster!E183+1),2)</f>
        <v>3.12</v>
      </c>
      <c r="J183" s="15">
        <f>INDEX(卡牌图鉴!$J$2:$J$53,MATCH(monster!C183,卡牌图鉴!$C$2:$C$53,0))</f>
        <v>5</v>
      </c>
      <c r="K183" s="15">
        <f>INDEX(卡牌图鉴!$S$2:$S$53,MATCH(monster!C183,卡牌图鉴!$C$2:$C$53,0))</f>
        <v>3</v>
      </c>
      <c r="L183" s="15">
        <f>INDEX(卡牌图鉴!$H$2:$H$53,MATCH(monster!C183,卡牌图鉴!$C$2:$C$53,0))</f>
        <v>1.4</v>
      </c>
      <c r="M183" s="15">
        <f>INDEX(卡牌图鉴!$L$2:$L$53,MATCH(monster!C183,卡牌图鉴!$C$2:$C$53,0))</f>
        <v>3</v>
      </c>
      <c r="N183" s="15">
        <f>INDEX(卡牌图鉴!$AD$2:$AD$53,MATCH(monster!C183,卡牌图鉴!$C$2:$C$53,0))</f>
        <v>8</v>
      </c>
      <c r="O183" s="78">
        <f>INDEX(卡牌图鉴!$K$2:$K$53,MATCH(monster!C183,卡牌图鉴!$C$2:$C$53,0))</f>
        <v>3</v>
      </c>
    </row>
    <row r="184" spans="1:15" x14ac:dyDescent="0.15">
      <c r="A184" s="31">
        <v>1456</v>
      </c>
      <c r="B184" s="31" t="s">
        <v>508</v>
      </c>
      <c r="C184" s="31">
        <v>1450</v>
      </c>
      <c r="D184" s="15">
        <f>INDEX(卡牌图鉴!$S$2:$S$53,MATCH(monster!C184,卡牌图鉴!$C$2:$C$53,0))</f>
        <v>3</v>
      </c>
      <c r="E184" s="31">
        <v>6</v>
      </c>
      <c r="F184" s="15">
        <f>INT(INDEX(卡牌图鉴!$AB$2:$AB$53,MATCH(monster!C184,卡牌图鉴!$C$2:$C$57,0)) * INDEX(数值规划表!$B$61:$B$71,monster!E184+1) * 血量调整)</f>
        <v>403</v>
      </c>
      <c r="G184" s="15">
        <f>ROUND(INDEX(卡牌图鉴!$AB$2:$AB$53,MATCH(monster!C184,卡牌图鉴!$C$2:$C$57,0)) * INDEX(数值规划表!$D$61:$D$71,monster!E184+1)*血量调整,2)</f>
        <v>12.11</v>
      </c>
      <c r="H184" s="15">
        <f>ROUND(INDEX(卡牌图鉴!$AA$2:$AA$53,MATCH(monster!C184,卡牌图鉴!$C$2:$C$53,0)) * INDEX(数值规划表!$C$61:$C$71,monster!E184+1),2)</f>
        <v>116.34</v>
      </c>
      <c r="I184" s="15">
        <f>ROUND(INDEX(卡牌图鉴!$AA$2:$AA$53,MATCH(monster!C184,卡牌图鉴!$C$2:$C$53,0)) * INDEX(数值规划表!$E$61:$E$71,monster!E184+1),2)</f>
        <v>3.49</v>
      </c>
      <c r="J184" s="15">
        <f>INDEX(卡牌图鉴!$J$2:$J$53,MATCH(monster!C184,卡牌图鉴!$C$2:$C$53,0))</f>
        <v>5</v>
      </c>
      <c r="K184" s="15">
        <f>INDEX(卡牌图鉴!$S$2:$S$53,MATCH(monster!C184,卡牌图鉴!$C$2:$C$53,0))</f>
        <v>3</v>
      </c>
      <c r="L184" s="15">
        <f>INDEX(卡牌图鉴!$H$2:$H$53,MATCH(monster!C184,卡牌图鉴!$C$2:$C$53,0))</f>
        <v>1.4</v>
      </c>
      <c r="M184" s="15">
        <f>INDEX(卡牌图鉴!$L$2:$L$53,MATCH(monster!C184,卡牌图鉴!$C$2:$C$53,0))</f>
        <v>3</v>
      </c>
      <c r="N184" s="15">
        <f>INDEX(卡牌图鉴!$AD$2:$AD$53,MATCH(monster!C184,卡牌图鉴!$C$2:$C$53,0))</f>
        <v>8</v>
      </c>
      <c r="O184" s="78">
        <f>INDEX(卡牌图鉴!$K$2:$K$53,MATCH(monster!C184,卡牌图鉴!$C$2:$C$53,0))</f>
        <v>3</v>
      </c>
    </row>
    <row r="185" spans="1:15" x14ac:dyDescent="0.15">
      <c r="A185" s="31">
        <v>1457</v>
      </c>
      <c r="B185" s="31" t="s">
        <v>509</v>
      </c>
      <c r="C185" s="31">
        <v>1450</v>
      </c>
      <c r="D185" s="15">
        <f>INDEX(卡牌图鉴!$S$2:$S$53,MATCH(monster!C185,卡牌图鉴!$C$2:$C$53,0))</f>
        <v>3</v>
      </c>
      <c r="E185" s="31">
        <v>7</v>
      </c>
      <c r="F185" s="15">
        <f>INT(INDEX(卡牌图鉴!$AB$2:$AB$53,MATCH(monster!C185,卡牌图鉴!$C$2:$C$57,0)) * INDEX(数值规划表!$B$61:$B$71,monster!E185+1) * 血量调整)</f>
        <v>452</v>
      </c>
      <c r="G185" s="15">
        <f>ROUND(INDEX(卡牌图鉴!$AB$2:$AB$53,MATCH(monster!C185,卡牌图鉴!$C$2:$C$57,0)) * INDEX(数值规划表!$D$61:$D$71,monster!E185+1)*血量调整,2)</f>
        <v>13.56</v>
      </c>
      <c r="H185" s="15">
        <f>ROUND(INDEX(卡牌图鉴!$AA$2:$AA$53,MATCH(monster!C185,卡牌图鉴!$C$2:$C$53,0)) * INDEX(数值规划表!$C$61:$C$71,monster!E185+1),2)</f>
        <v>130.30000000000001</v>
      </c>
      <c r="I185" s="15">
        <f>ROUND(INDEX(卡牌图鉴!$AA$2:$AA$53,MATCH(monster!C185,卡牌图鉴!$C$2:$C$53,0)) * INDEX(数值规划表!$E$61:$E$71,monster!E185+1),2)</f>
        <v>3.91</v>
      </c>
      <c r="J185" s="15">
        <f>INDEX(卡牌图鉴!$J$2:$J$53,MATCH(monster!C185,卡牌图鉴!$C$2:$C$53,0))</f>
        <v>5</v>
      </c>
      <c r="K185" s="15">
        <f>INDEX(卡牌图鉴!$S$2:$S$53,MATCH(monster!C185,卡牌图鉴!$C$2:$C$53,0))</f>
        <v>3</v>
      </c>
      <c r="L185" s="15">
        <f>INDEX(卡牌图鉴!$H$2:$H$53,MATCH(monster!C185,卡牌图鉴!$C$2:$C$53,0))</f>
        <v>1.4</v>
      </c>
      <c r="M185" s="15">
        <f>INDEX(卡牌图鉴!$L$2:$L$53,MATCH(monster!C185,卡牌图鉴!$C$2:$C$53,0))</f>
        <v>3</v>
      </c>
      <c r="N185" s="15">
        <f>INDEX(卡牌图鉴!$AD$2:$AD$53,MATCH(monster!C185,卡牌图鉴!$C$2:$C$53,0))</f>
        <v>8</v>
      </c>
      <c r="O185" s="78">
        <f>INDEX(卡牌图鉴!$K$2:$K$53,MATCH(monster!C185,卡牌图鉴!$C$2:$C$53,0))</f>
        <v>3</v>
      </c>
    </row>
    <row r="186" spans="1:15" x14ac:dyDescent="0.15">
      <c r="A186" s="31">
        <v>1458</v>
      </c>
      <c r="B186" s="31" t="s">
        <v>510</v>
      </c>
      <c r="C186" s="31">
        <v>1450</v>
      </c>
      <c r="D186" s="15">
        <f>INDEX(卡牌图鉴!$S$2:$S$53,MATCH(monster!C186,卡牌图鉴!$C$2:$C$53,0))</f>
        <v>3</v>
      </c>
      <c r="E186" s="31">
        <v>8</v>
      </c>
      <c r="F186" s="15">
        <f>INT(INDEX(卡牌图鉴!$AB$2:$AB$53,MATCH(monster!C186,卡牌图鉴!$C$2:$C$57,0)) * INDEX(数值规划表!$B$61:$B$71,monster!E186+1) * 血量调整)</f>
        <v>506</v>
      </c>
      <c r="G186" s="15">
        <f>ROUND(INDEX(卡牌图鉴!$AB$2:$AB$53,MATCH(monster!C186,卡牌图鉴!$C$2:$C$57,0)) * INDEX(数值规划表!$D$61:$D$71,monster!E186+1)*血量调整,2)</f>
        <v>15.19</v>
      </c>
      <c r="H186" s="15">
        <f>ROUND(INDEX(卡牌图鉴!$AA$2:$AA$53,MATCH(monster!C186,卡牌图鉴!$C$2:$C$53,0)) * INDEX(数值规划表!$C$61:$C$71,monster!E186+1),2)</f>
        <v>145.93</v>
      </c>
      <c r="I186" s="15">
        <f>ROUND(INDEX(卡牌图鉴!$AA$2:$AA$53,MATCH(monster!C186,卡牌图鉴!$C$2:$C$53,0)) * INDEX(数值规划表!$E$61:$E$71,monster!E186+1),2)</f>
        <v>4.38</v>
      </c>
      <c r="J186" s="15">
        <f>INDEX(卡牌图鉴!$J$2:$J$53,MATCH(monster!C186,卡牌图鉴!$C$2:$C$53,0))</f>
        <v>5</v>
      </c>
      <c r="K186" s="15">
        <f>INDEX(卡牌图鉴!$S$2:$S$53,MATCH(monster!C186,卡牌图鉴!$C$2:$C$53,0))</f>
        <v>3</v>
      </c>
      <c r="L186" s="15">
        <f>INDEX(卡牌图鉴!$H$2:$H$53,MATCH(monster!C186,卡牌图鉴!$C$2:$C$53,0))</f>
        <v>1.4</v>
      </c>
      <c r="M186" s="15">
        <f>INDEX(卡牌图鉴!$L$2:$L$53,MATCH(monster!C186,卡牌图鉴!$C$2:$C$53,0))</f>
        <v>3</v>
      </c>
      <c r="N186" s="15">
        <f>INDEX(卡牌图鉴!$AD$2:$AD$53,MATCH(monster!C186,卡牌图鉴!$C$2:$C$53,0))</f>
        <v>8</v>
      </c>
      <c r="O186" s="78">
        <f>INDEX(卡牌图鉴!$K$2:$K$53,MATCH(monster!C186,卡牌图鉴!$C$2:$C$53,0))</f>
        <v>3</v>
      </c>
    </row>
    <row r="187" spans="1:15" x14ac:dyDescent="0.15">
      <c r="A187" s="31">
        <v>1459</v>
      </c>
      <c r="B187" s="31" t="s">
        <v>511</v>
      </c>
      <c r="C187" s="31">
        <v>1450</v>
      </c>
      <c r="D187" s="15">
        <f>INDEX(卡牌图鉴!$S$2:$S$53,MATCH(monster!C187,卡牌图鉴!$C$2:$C$53,0))</f>
        <v>3</v>
      </c>
      <c r="E187" s="31">
        <v>9</v>
      </c>
      <c r="F187" s="15">
        <f>INT(INDEX(卡牌图鉴!$AB$2:$AB$53,MATCH(monster!C187,卡牌图鉴!$C$2:$C$57,0)) * INDEX(数值规划表!$B$61:$B$71,monster!E187+1) * 血量调整)</f>
        <v>567</v>
      </c>
      <c r="G187" s="15">
        <f>ROUND(INDEX(卡牌图鉴!$AB$2:$AB$53,MATCH(monster!C187,卡牌图鉴!$C$2:$C$57,0)) * INDEX(数值规划表!$D$61:$D$71,monster!E187+1)*血量调整,2)</f>
        <v>17.02</v>
      </c>
      <c r="H187" s="15">
        <f>ROUND(INDEX(卡牌图鉴!$AA$2:$AA$53,MATCH(monster!C187,卡牌图鉴!$C$2:$C$53,0)) * INDEX(数值规划表!$C$61:$C$71,monster!E187+1),2)</f>
        <v>163.44999999999999</v>
      </c>
      <c r="I187" s="15">
        <f>ROUND(INDEX(卡牌图鉴!$AA$2:$AA$53,MATCH(monster!C187,卡牌图鉴!$C$2:$C$53,0)) * INDEX(数值规划表!$E$61:$E$71,monster!E187+1),2)</f>
        <v>4.9000000000000004</v>
      </c>
      <c r="J187" s="15">
        <f>INDEX(卡牌图鉴!$J$2:$J$53,MATCH(monster!C187,卡牌图鉴!$C$2:$C$53,0))</f>
        <v>5</v>
      </c>
      <c r="K187" s="15">
        <f>INDEX(卡牌图鉴!$S$2:$S$53,MATCH(monster!C187,卡牌图鉴!$C$2:$C$53,0))</f>
        <v>3</v>
      </c>
      <c r="L187" s="15">
        <f>INDEX(卡牌图鉴!$H$2:$H$53,MATCH(monster!C187,卡牌图鉴!$C$2:$C$53,0))</f>
        <v>1.4</v>
      </c>
      <c r="M187" s="15">
        <f>INDEX(卡牌图鉴!$L$2:$L$53,MATCH(monster!C187,卡牌图鉴!$C$2:$C$53,0))</f>
        <v>3</v>
      </c>
      <c r="N187" s="15">
        <f>INDEX(卡牌图鉴!$AD$2:$AD$53,MATCH(monster!C187,卡牌图鉴!$C$2:$C$53,0))</f>
        <v>8</v>
      </c>
      <c r="O187" s="78">
        <f>INDEX(卡牌图鉴!$K$2:$K$53,MATCH(monster!C187,卡牌图鉴!$C$2:$C$53,0))</f>
        <v>3</v>
      </c>
    </row>
    <row r="188" spans="1:15" x14ac:dyDescent="0.15">
      <c r="A188" s="31">
        <v>1460</v>
      </c>
      <c r="B188" s="31" t="s">
        <v>512</v>
      </c>
      <c r="C188" s="31">
        <v>1450</v>
      </c>
      <c r="D188" s="15">
        <f>INDEX(卡牌图鉴!$S$2:$S$53,MATCH(monster!C188,卡牌图鉴!$C$2:$C$53,0))</f>
        <v>3</v>
      </c>
      <c r="E188" s="31">
        <v>10</v>
      </c>
      <c r="F188" s="15">
        <f>INT(INDEX(卡牌图鉴!$AB$2:$AB$53,MATCH(monster!C188,卡牌图鉴!$C$2:$C$57,0)) * INDEX(数值规划表!$B$61:$B$71,monster!E188+1) * 血量调整)</f>
        <v>635</v>
      </c>
      <c r="G188" s="15">
        <f>ROUND(INDEX(卡牌图鉴!$AB$2:$AB$53,MATCH(monster!C188,卡牌图鉴!$C$2:$C$57,0)) * INDEX(数值规划表!$D$61:$D$71,monster!E188+1)*血量调整,2)</f>
        <v>19.059999999999999</v>
      </c>
      <c r="H188" s="15">
        <f>ROUND(INDEX(卡牌图鉴!$AA$2:$AA$53,MATCH(monster!C188,卡牌图鉴!$C$2:$C$53,0)) * INDEX(数值规划表!$C$61:$C$71,monster!E188+1),2)</f>
        <v>183.06</v>
      </c>
      <c r="I188" s="15">
        <f>ROUND(INDEX(卡牌图鉴!$AA$2:$AA$53,MATCH(monster!C188,卡牌图鉴!$C$2:$C$53,0)) * INDEX(数值规划表!$E$61:$E$71,monster!E188+1),2)</f>
        <v>5.49</v>
      </c>
      <c r="J188" s="15">
        <f>INDEX(卡牌图鉴!$J$2:$J$53,MATCH(monster!C188,卡牌图鉴!$C$2:$C$53,0))</f>
        <v>5</v>
      </c>
      <c r="K188" s="15">
        <f>INDEX(卡牌图鉴!$S$2:$S$53,MATCH(monster!C188,卡牌图鉴!$C$2:$C$53,0))</f>
        <v>3</v>
      </c>
      <c r="L188" s="15">
        <f>INDEX(卡牌图鉴!$H$2:$H$53,MATCH(monster!C188,卡牌图鉴!$C$2:$C$53,0))</f>
        <v>1.4</v>
      </c>
      <c r="M188" s="15">
        <f>INDEX(卡牌图鉴!$L$2:$L$53,MATCH(monster!C188,卡牌图鉴!$C$2:$C$53,0))</f>
        <v>3</v>
      </c>
      <c r="N188" s="15">
        <f>INDEX(卡牌图鉴!$AD$2:$AD$53,MATCH(monster!C188,卡牌图鉴!$C$2:$C$53,0))</f>
        <v>8</v>
      </c>
      <c r="O188" s="78">
        <f>INDEX(卡牌图鉴!$K$2:$K$53,MATCH(monster!C188,卡牌图鉴!$C$2:$C$53,0))</f>
        <v>3</v>
      </c>
    </row>
    <row r="189" spans="1:15" x14ac:dyDescent="0.15">
      <c r="A189" s="31">
        <v>1127</v>
      </c>
      <c r="B189" s="31" t="s">
        <v>1438</v>
      </c>
      <c r="C189" s="31">
        <v>1127</v>
      </c>
      <c r="D189" s="15">
        <f>INDEX(卡牌图鉴!$S$2:$S$53,MATCH(monster!C189,卡牌图鉴!$C$2:$C$53,0))</f>
        <v>1</v>
      </c>
      <c r="E189" s="31">
        <v>0</v>
      </c>
      <c r="F189" s="15">
        <f>INT(INDEX(卡牌图鉴!$AB$2:$AB$53,MATCH(monster!C189,卡牌图鉴!$C$2:$C$57,0)) * INDEX(数值规划表!$B$61:$B$71,monster!E189+1) * 血量调整)</f>
        <v>716</v>
      </c>
      <c r="G189" s="15">
        <f>ROUND(INDEX(卡牌图鉴!$AB$2:$AB$53,MATCH(monster!C189,卡牌图鉴!$C$2:$C$57,0)) * INDEX(数值规划表!$D$61:$D$71,monster!E189+1)*血量调整,2)</f>
        <v>21.5</v>
      </c>
      <c r="H189" s="15">
        <f>ROUND(INDEX(卡牌图鉴!$AA$2:$AA$53,MATCH(monster!C189,卡牌图鉴!$C$2:$C$53,0)) * INDEX(数值规划表!$C$61:$C$71,monster!E189+1),2)</f>
        <v>56.98</v>
      </c>
      <c r="I189" s="15">
        <f>ROUND(INDEX(卡牌图鉴!$AA$2:$AA$53,MATCH(monster!C189,卡牌图鉴!$C$2:$C$53,0)) * INDEX(数值规划表!$E$61:$E$71,monster!E189+1),2)</f>
        <v>1.71</v>
      </c>
      <c r="J189" s="15">
        <f>INDEX(卡牌图鉴!$J$2:$J$53,MATCH(monster!C189,卡牌图鉴!$C$2:$C$53,0))</f>
        <v>1.2</v>
      </c>
      <c r="K189" s="15">
        <f>INDEX(卡牌图鉴!$S$2:$S$53,MATCH(monster!C189,卡牌图鉴!$C$2:$C$53,0))</f>
        <v>1</v>
      </c>
      <c r="L189" s="15">
        <f>INDEX(卡牌图鉴!$H$2:$H$53,MATCH(monster!C189,卡牌图鉴!$C$2:$C$53,0))</f>
        <v>0.8</v>
      </c>
      <c r="M189" s="15">
        <f>INDEX(卡牌图鉴!$L$2:$L$53,MATCH(monster!C189,卡牌图鉴!$C$2:$C$53,0))</f>
        <v>4</v>
      </c>
      <c r="N189" s="15">
        <f>INDEX(卡牌图鉴!$AD$2:$AD$53,MATCH(monster!C189,卡牌图鉴!$C$2:$C$53,0))</f>
        <v>8</v>
      </c>
      <c r="O189" s="78">
        <f>INDEX(卡牌图鉴!$K$2:$K$53,MATCH(monster!C189,卡牌图鉴!$C$2:$C$53,0))</f>
        <v>4</v>
      </c>
    </row>
    <row r="190" spans="1:15" x14ac:dyDescent="0.15">
      <c r="A190" s="31">
        <v>1128</v>
      </c>
      <c r="B190" s="31" t="s">
        <v>250</v>
      </c>
      <c r="C190" s="31">
        <v>1127</v>
      </c>
      <c r="D190" s="15">
        <f>INDEX(卡牌图鉴!$S$2:$S$53,MATCH(monster!C190,卡牌图鉴!$C$2:$C$53,0))</f>
        <v>1</v>
      </c>
      <c r="E190" s="31">
        <v>1</v>
      </c>
      <c r="F190" s="15">
        <f>INT(INDEX(卡牌图鉴!$AB$2:$AB$53,MATCH(monster!C190,卡牌图鉴!$C$2:$C$57,0)) * INDEX(数值规划表!$B$61:$B$71,monster!E190+1) * 血量调整)</f>
        <v>802</v>
      </c>
      <c r="G190" s="15">
        <f>ROUND(INDEX(卡牌图鉴!$AB$2:$AB$53,MATCH(monster!C190,卡牌图鉴!$C$2:$C$57,0)) * INDEX(数值规划表!$D$61:$D$71,monster!E190+1)*血量调整,2)</f>
        <v>24.08</v>
      </c>
      <c r="H190" s="15">
        <f>ROUND(INDEX(卡牌图鉴!$AA$2:$AA$53,MATCH(monster!C190,卡牌图鉴!$C$2:$C$53,0)) * INDEX(数值规划表!$C$61:$C$71,monster!E190+1),2)</f>
        <v>63.82</v>
      </c>
      <c r="I190" s="15">
        <f>ROUND(INDEX(卡牌图鉴!$AA$2:$AA$53,MATCH(monster!C190,卡牌图鉴!$C$2:$C$53,0)) * INDEX(数值规划表!$E$61:$E$71,monster!E190+1),2)</f>
        <v>1.91</v>
      </c>
      <c r="J190" s="15">
        <f>INDEX(卡牌图鉴!$J$2:$J$53,MATCH(monster!C190,卡牌图鉴!$C$2:$C$53,0))</f>
        <v>1.2</v>
      </c>
      <c r="K190" s="15">
        <f>INDEX(卡牌图鉴!$S$2:$S$53,MATCH(monster!C190,卡牌图鉴!$C$2:$C$53,0))</f>
        <v>1</v>
      </c>
      <c r="L190" s="15">
        <f>INDEX(卡牌图鉴!$H$2:$H$53,MATCH(monster!C190,卡牌图鉴!$C$2:$C$53,0))</f>
        <v>0.8</v>
      </c>
      <c r="M190" s="15">
        <f>INDEX(卡牌图鉴!$L$2:$L$53,MATCH(monster!C190,卡牌图鉴!$C$2:$C$53,0))</f>
        <v>4</v>
      </c>
      <c r="N190" s="15">
        <f>INDEX(卡牌图鉴!$AD$2:$AD$53,MATCH(monster!C190,卡牌图鉴!$C$2:$C$53,0))</f>
        <v>8</v>
      </c>
      <c r="O190" s="78">
        <f>INDEX(卡牌图鉴!$K$2:$K$53,MATCH(monster!C190,卡牌图鉴!$C$2:$C$53,0))</f>
        <v>4</v>
      </c>
    </row>
    <row r="191" spans="1:15" x14ac:dyDescent="0.15">
      <c r="A191" s="31">
        <v>1129</v>
      </c>
      <c r="B191" s="31" t="s">
        <v>251</v>
      </c>
      <c r="C191" s="31">
        <v>1127</v>
      </c>
      <c r="D191" s="15">
        <f>INDEX(卡牌图鉴!$S$2:$S$53,MATCH(monster!C191,卡牌图鉴!$C$2:$C$53,0))</f>
        <v>1</v>
      </c>
      <c r="E191" s="31">
        <v>2</v>
      </c>
      <c r="F191" s="15">
        <f>INT(INDEX(卡牌图鉴!$AB$2:$AB$53,MATCH(monster!C191,卡牌图鉴!$C$2:$C$57,0)) * INDEX(数值规划表!$B$61:$B$71,monster!E191+1) * 血量调整)</f>
        <v>899</v>
      </c>
      <c r="G191" s="15">
        <f>ROUND(INDEX(卡牌图鉴!$AB$2:$AB$53,MATCH(monster!C191,卡牌图鉴!$C$2:$C$57,0)) * INDEX(数值规划表!$D$61:$D$71,monster!E191+1)*血量调整,2)</f>
        <v>26.97</v>
      </c>
      <c r="H191" s="15">
        <f>ROUND(INDEX(卡牌图鉴!$AA$2:$AA$53,MATCH(monster!C191,卡牌图鉴!$C$2:$C$53,0)) * INDEX(数值规划表!$C$61:$C$71,monster!E191+1),2)</f>
        <v>71.48</v>
      </c>
      <c r="I191" s="15">
        <f>ROUND(INDEX(卡牌图鉴!$AA$2:$AA$53,MATCH(monster!C191,卡牌图鉴!$C$2:$C$53,0)) * INDEX(数值规划表!$E$61:$E$71,monster!E191+1),2)</f>
        <v>2.14</v>
      </c>
      <c r="J191" s="15">
        <f>INDEX(卡牌图鉴!$J$2:$J$53,MATCH(monster!C191,卡牌图鉴!$C$2:$C$53,0))</f>
        <v>1.2</v>
      </c>
      <c r="K191" s="15">
        <f>INDEX(卡牌图鉴!$S$2:$S$53,MATCH(monster!C191,卡牌图鉴!$C$2:$C$53,0))</f>
        <v>1</v>
      </c>
      <c r="L191" s="15">
        <f>INDEX(卡牌图鉴!$H$2:$H$53,MATCH(monster!C191,卡牌图鉴!$C$2:$C$53,0))</f>
        <v>0.8</v>
      </c>
      <c r="M191" s="15">
        <f>INDEX(卡牌图鉴!$L$2:$L$53,MATCH(monster!C191,卡牌图鉴!$C$2:$C$53,0))</f>
        <v>4</v>
      </c>
      <c r="N191" s="15">
        <f>INDEX(卡牌图鉴!$AD$2:$AD$53,MATCH(monster!C191,卡牌图鉴!$C$2:$C$53,0))</f>
        <v>8</v>
      </c>
      <c r="O191" s="78">
        <f>INDEX(卡牌图鉴!$K$2:$K$53,MATCH(monster!C191,卡牌图鉴!$C$2:$C$53,0))</f>
        <v>4</v>
      </c>
    </row>
    <row r="192" spans="1:15" x14ac:dyDescent="0.15">
      <c r="A192" s="31">
        <v>1130</v>
      </c>
      <c r="B192" s="31" t="s">
        <v>252</v>
      </c>
      <c r="C192" s="31">
        <v>1127</v>
      </c>
      <c r="D192" s="15">
        <f>INDEX(卡牌图鉴!$S$2:$S$53,MATCH(monster!C192,卡牌图鉴!$C$2:$C$53,0))</f>
        <v>1</v>
      </c>
      <c r="E192" s="31">
        <v>3</v>
      </c>
      <c r="F192" s="15">
        <f>INT(INDEX(卡牌图鉴!$AB$2:$AB$53,MATCH(monster!C192,卡牌图鉴!$C$2:$C$57,0)) * INDEX(数值规划表!$B$61:$B$71,monster!E192+1) * 血量调整)</f>
        <v>1006</v>
      </c>
      <c r="G192" s="15">
        <f>ROUND(INDEX(卡牌图鉴!$AB$2:$AB$53,MATCH(monster!C192,卡牌图鉴!$C$2:$C$57,0)) * INDEX(数值规划表!$D$61:$D$71,monster!E192+1)*血量调整,2)</f>
        <v>30.21</v>
      </c>
      <c r="H192" s="15">
        <f>ROUND(INDEX(卡牌图鉴!$AA$2:$AA$53,MATCH(monster!C192,卡牌图鉴!$C$2:$C$53,0)) * INDEX(数值规划表!$C$61:$C$71,monster!E192+1),2)</f>
        <v>80.05</v>
      </c>
      <c r="I192" s="15">
        <f>ROUND(INDEX(卡牌图鉴!$AA$2:$AA$53,MATCH(monster!C192,卡牌图鉴!$C$2:$C$53,0)) * INDEX(数值规划表!$E$61:$E$71,monster!E192+1),2)</f>
        <v>2.4</v>
      </c>
      <c r="J192" s="15">
        <f>INDEX(卡牌图鉴!$J$2:$J$53,MATCH(monster!C192,卡牌图鉴!$C$2:$C$53,0))</f>
        <v>1.2</v>
      </c>
      <c r="K192" s="15">
        <f>INDEX(卡牌图鉴!$S$2:$S$53,MATCH(monster!C192,卡牌图鉴!$C$2:$C$53,0))</f>
        <v>1</v>
      </c>
      <c r="L192" s="15">
        <f>INDEX(卡牌图鉴!$H$2:$H$53,MATCH(monster!C192,卡牌图鉴!$C$2:$C$53,0))</f>
        <v>0.8</v>
      </c>
      <c r="M192" s="15">
        <f>INDEX(卡牌图鉴!$L$2:$L$53,MATCH(monster!C192,卡牌图鉴!$C$2:$C$53,0))</f>
        <v>4</v>
      </c>
      <c r="N192" s="15">
        <f>INDEX(卡牌图鉴!$AD$2:$AD$53,MATCH(monster!C192,卡牌图鉴!$C$2:$C$53,0))</f>
        <v>8</v>
      </c>
      <c r="O192" s="78">
        <f>INDEX(卡牌图鉴!$K$2:$K$53,MATCH(monster!C192,卡牌图鉴!$C$2:$C$53,0))</f>
        <v>4</v>
      </c>
    </row>
    <row r="193" spans="1:15" x14ac:dyDescent="0.15">
      <c r="A193" s="31">
        <v>1131</v>
      </c>
      <c r="B193" s="31" t="s">
        <v>253</v>
      </c>
      <c r="C193" s="31">
        <v>1127</v>
      </c>
      <c r="D193" s="15">
        <f>INDEX(卡牌图鉴!$S$2:$S$53,MATCH(monster!C193,卡牌图鉴!$C$2:$C$53,0))</f>
        <v>1</v>
      </c>
      <c r="E193" s="31">
        <v>4</v>
      </c>
      <c r="F193" s="15">
        <f>INT(INDEX(卡牌图鉴!$AB$2:$AB$53,MATCH(monster!C193,卡牌图鉴!$C$2:$C$57,0)) * INDEX(数值规划表!$B$61:$B$71,monster!E193+1) * 血量调整)</f>
        <v>1127</v>
      </c>
      <c r="G193" s="15">
        <f>ROUND(INDEX(卡牌图鉴!$AB$2:$AB$53,MATCH(monster!C193,卡牌图鉴!$C$2:$C$57,0)) * INDEX(数值规划表!$D$61:$D$71,monster!E193+1)*血量调整,2)</f>
        <v>33.83</v>
      </c>
      <c r="H193" s="15">
        <f>ROUND(INDEX(卡牌图鉴!$AA$2:$AA$53,MATCH(monster!C193,卡牌图鉴!$C$2:$C$53,0)) * INDEX(数值规划表!$C$61:$C$71,monster!E193+1),2)</f>
        <v>89.66</v>
      </c>
      <c r="I193" s="15">
        <f>ROUND(INDEX(卡牌图鉴!$AA$2:$AA$53,MATCH(monster!C193,卡牌图鉴!$C$2:$C$53,0)) * INDEX(数值规划表!$E$61:$E$71,monster!E193+1),2)</f>
        <v>2.69</v>
      </c>
      <c r="J193" s="15">
        <f>INDEX(卡牌图鉴!$J$2:$J$53,MATCH(monster!C193,卡牌图鉴!$C$2:$C$53,0))</f>
        <v>1.2</v>
      </c>
      <c r="K193" s="15">
        <f>INDEX(卡牌图鉴!$S$2:$S$53,MATCH(monster!C193,卡牌图鉴!$C$2:$C$53,0))</f>
        <v>1</v>
      </c>
      <c r="L193" s="15">
        <f>INDEX(卡牌图鉴!$H$2:$H$53,MATCH(monster!C193,卡牌图鉴!$C$2:$C$53,0))</f>
        <v>0.8</v>
      </c>
      <c r="M193" s="15">
        <f>INDEX(卡牌图鉴!$L$2:$L$53,MATCH(monster!C193,卡牌图鉴!$C$2:$C$53,0))</f>
        <v>4</v>
      </c>
      <c r="N193" s="15">
        <f>INDEX(卡牌图鉴!$AD$2:$AD$53,MATCH(monster!C193,卡牌图鉴!$C$2:$C$53,0))</f>
        <v>8</v>
      </c>
      <c r="O193" s="78">
        <f>INDEX(卡牌图鉴!$K$2:$K$53,MATCH(monster!C193,卡牌图鉴!$C$2:$C$53,0))</f>
        <v>4</v>
      </c>
    </row>
    <row r="194" spans="1:15" x14ac:dyDescent="0.15">
      <c r="A194" s="31">
        <v>1132</v>
      </c>
      <c r="B194" s="31" t="s">
        <v>254</v>
      </c>
      <c r="C194" s="31">
        <v>1127</v>
      </c>
      <c r="D194" s="15">
        <f>INDEX(卡牌图鉴!$S$2:$S$53,MATCH(monster!C194,卡牌图鉴!$C$2:$C$53,0))</f>
        <v>1</v>
      </c>
      <c r="E194" s="31">
        <v>5</v>
      </c>
      <c r="F194" s="15">
        <f>INT(INDEX(卡牌图鉴!$AB$2:$AB$53,MATCH(monster!C194,卡牌图鉴!$C$2:$C$57,0)) * INDEX(数值规划表!$B$61:$B$71,monster!E194+1) * 血量调整)</f>
        <v>1263</v>
      </c>
      <c r="G194" s="15">
        <f>ROUND(INDEX(卡牌图鉴!$AB$2:$AB$53,MATCH(monster!C194,卡牌图鉴!$C$2:$C$57,0)) * INDEX(数值规划表!$D$61:$D$71,monster!E194+1)*血量调整,2)</f>
        <v>37.89</v>
      </c>
      <c r="H194" s="15">
        <f>ROUND(INDEX(卡牌图鉴!$AA$2:$AA$53,MATCH(monster!C194,卡牌图鉴!$C$2:$C$53,0)) * INDEX(数值规划表!$C$61:$C$71,monster!E194+1),2)</f>
        <v>100.42</v>
      </c>
      <c r="I194" s="15">
        <f>ROUND(INDEX(卡牌图鉴!$AA$2:$AA$53,MATCH(monster!C194,卡牌图鉴!$C$2:$C$53,0)) * INDEX(数值规划表!$E$61:$E$71,monster!E194+1),2)</f>
        <v>3.01</v>
      </c>
      <c r="J194" s="15">
        <f>INDEX(卡牌图鉴!$J$2:$J$53,MATCH(monster!C194,卡牌图鉴!$C$2:$C$53,0))</f>
        <v>1.2</v>
      </c>
      <c r="K194" s="15">
        <f>INDEX(卡牌图鉴!$S$2:$S$53,MATCH(monster!C194,卡牌图鉴!$C$2:$C$53,0))</f>
        <v>1</v>
      </c>
      <c r="L194" s="15">
        <f>INDEX(卡牌图鉴!$H$2:$H$53,MATCH(monster!C194,卡牌图鉴!$C$2:$C$53,0))</f>
        <v>0.8</v>
      </c>
      <c r="M194" s="15">
        <f>INDEX(卡牌图鉴!$L$2:$L$53,MATCH(monster!C194,卡牌图鉴!$C$2:$C$53,0))</f>
        <v>4</v>
      </c>
      <c r="N194" s="15">
        <f>INDEX(卡牌图鉴!$AD$2:$AD$53,MATCH(monster!C194,卡牌图鉴!$C$2:$C$53,0))</f>
        <v>8</v>
      </c>
      <c r="O194" s="78">
        <f>INDEX(卡牌图鉴!$K$2:$K$53,MATCH(monster!C194,卡牌图鉴!$C$2:$C$53,0))</f>
        <v>4</v>
      </c>
    </row>
    <row r="195" spans="1:15" x14ac:dyDescent="0.15">
      <c r="A195" s="31">
        <v>1133</v>
      </c>
      <c r="B195" s="31" t="s">
        <v>255</v>
      </c>
      <c r="C195" s="31">
        <v>1127</v>
      </c>
      <c r="D195" s="15">
        <f>INDEX(卡牌图鉴!$S$2:$S$53,MATCH(monster!C195,卡牌图鉴!$C$2:$C$53,0))</f>
        <v>1</v>
      </c>
      <c r="E195" s="31">
        <v>6</v>
      </c>
      <c r="F195" s="15">
        <f>INT(INDEX(卡牌图鉴!$AB$2:$AB$53,MATCH(monster!C195,卡牌图鉴!$C$2:$C$57,0)) * INDEX(数值规划表!$B$61:$B$71,monster!E195+1) * 血量调整)</f>
        <v>1414</v>
      </c>
      <c r="G195" s="15">
        <f>ROUND(INDEX(卡牌图鉴!$AB$2:$AB$53,MATCH(monster!C195,卡牌图鉴!$C$2:$C$57,0)) * INDEX(数值规划表!$D$61:$D$71,monster!E195+1)*血量调整,2)</f>
        <v>42.44</v>
      </c>
      <c r="H195" s="15">
        <f>ROUND(INDEX(卡牌图鉴!$AA$2:$AA$53,MATCH(monster!C195,卡牌图鉴!$C$2:$C$53,0)) * INDEX(数值规划表!$C$61:$C$71,monster!E195+1),2)</f>
        <v>112.47</v>
      </c>
      <c r="I195" s="15">
        <f>ROUND(INDEX(卡牌图鉴!$AA$2:$AA$53,MATCH(monster!C195,卡牌图鉴!$C$2:$C$53,0)) * INDEX(数值规划表!$E$61:$E$71,monster!E195+1),2)</f>
        <v>3.37</v>
      </c>
      <c r="J195" s="15">
        <f>INDEX(卡牌图鉴!$J$2:$J$53,MATCH(monster!C195,卡牌图鉴!$C$2:$C$53,0))</f>
        <v>1.2</v>
      </c>
      <c r="K195" s="15">
        <f>INDEX(卡牌图鉴!$S$2:$S$53,MATCH(monster!C195,卡牌图鉴!$C$2:$C$53,0))</f>
        <v>1</v>
      </c>
      <c r="L195" s="15">
        <f>INDEX(卡牌图鉴!$H$2:$H$53,MATCH(monster!C195,卡牌图鉴!$C$2:$C$53,0))</f>
        <v>0.8</v>
      </c>
      <c r="M195" s="15">
        <f>INDEX(卡牌图鉴!$L$2:$L$53,MATCH(monster!C195,卡牌图鉴!$C$2:$C$53,0))</f>
        <v>4</v>
      </c>
      <c r="N195" s="15">
        <f>INDEX(卡牌图鉴!$AD$2:$AD$53,MATCH(monster!C195,卡牌图鉴!$C$2:$C$53,0))</f>
        <v>8</v>
      </c>
      <c r="O195" s="78">
        <f>INDEX(卡牌图鉴!$K$2:$K$53,MATCH(monster!C195,卡牌图鉴!$C$2:$C$53,0))</f>
        <v>4</v>
      </c>
    </row>
    <row r="196" spans="1:15" x14ac:dyDescent="0.15">
      <c r="A196" s="31">
        <v>1134</v>
      </c>
      <c r="B196" s="31" t="s">
        <v>256</v>
      </c>
      <c r="C196" s="31">
        <v>1127</v>
      </c>
      <c r="D196" s="15">
        <f>INDEX(卡牌图鉴!$S$2:$S$53,MATCH(monster!C196,卡牌图鉴!$C$2:$C$53,0))</f>
        <v>1</v>
      </c>
      <c r="E196" s="31">
        <v>7</v>
      </c>
      <c r="F196" s="15">
        <f>INT(INDEX(卡牌图鉴!$AB$2:$AB$53,MATCH(monster!C196,卡牌图鉴!$C$2:$C$57,0)) * INDEX(数值规划表!$B$61:$B$71,monster!E196+1) * 血量调整)</f>
        <v>1584</v>
      </c>
      <c r="G196" s="15">
        <f>ROUND(INDEX(卡牌图鉴!$AB$2:$AB$53,MATCH(monster!C196,卡牌图鉴!$C$2:$C$57,0)) * INDEX(数值规划表!$D$61:$D$71,monster!E196+1)*血量调整,2)</f>
        <v>47.53</v>
      </c>
      <c r="H196" s="15">
        <f>ROUND(INDEX(卡牌图鉴!$AA$2:$AA$53,MATCH(monster!C196,卡牌图鉴!$C$2:$C$53,0)) * INDEX(数值规划表!$C$61:$C$71,monster!E196+1),2)</f>
        <v>125.96</v>
      </c>
      <c r="I196" s="15">
        <f>ROUND(INDEX(卡牌图鉴!$AA$2:$AA$53,MATCH(monster!C196,卡牌图鉴!$C$2:$C$53,0)) * INDEX(数值规划表!$E$61:$E$71,monster!E196+1),2)</f>
        <v>3.78</v>
      </c>
      <c r="J196" s="15">
        <f>INDEX(卡牌图鉴!$J$2:$J$53,MATCH(monster!C196,卡牌图鉴!$C$2:$C$53,0))</f>
        <v>1.2</v>
      </c>
      <c r="K196" s="15">
        <f>INDEX(卡牌图鉴!$S$2:$S$53,MATCH(monster!C196,卡牌图鉴!$C$2:$C$53,0))</f>
        <v>1</v>
      </c>
      <c r="L196" s="15">
        <f>INDEX(卡牌图鉴!$H$2:$H$53,MATCH(monster!C196,卡牌图鉴!$C$2:$C$53,0))</f>
        <v>0.8</v>
      </c>
      <c r="M196" s="15">
        <f>INDEX(卡牌图鉴!$L$2:$L$53,MATCH(monster!C196,卡牌图鉴!$C$2:$C$53,0))</f>
        <v>4</v>
      </c>
      <c r="N196" s="15">
        <f>INDEX(卡牌图鉴!$AD$2:$AD$53,MATCH(monster!C196,卡牌图鉴!$C$2:$C$53,0))</f>
        <v>8</v>
      </c>
      <c r="O196" s="78">
        <f>INDEX(卡牌图鉴!$K$2:$K$53,MATCH(monster!C196,卡牌图鉴!$C$2:$C$53,0))</f>
        <v>4</v>
      </c>
    </row>
    <row r="197" spans="1:15" x14ac:dyDescent="0.15">
      <c r="A197" s="31">
        <v>1135</v>
      </c>
      <c r="B197" s="31" t="s">
        <v>257</v>
      </c>
      <c r="C197" s="31">
        <v>1127</v>
      </c>
      <c r="D197" s="15">
        <f>INDEX(卡牌图鉴!$S$2:$S$53,MATCH(monster!C197,卡牌图鉴!$C$2:$C$53,0))</f>
        <v>1</v>
      </c>
      <c r="E197" s="31">
        <v>8</v>
      </c>
      <c r="F197" s="15">
        <f>INT(INDEX(卡牌图鉴!$AB$2:$AB$53,MATCH(monster!C197,卡牌图鉴!$C$2:$C$57,0)) * INDEX(数值规划表!$B$61:$B$71,monster!E197+1) * 血量调整)</f>
        <v>1774</v>
      </c>
      <c r="G197" s="15">
        <f>ROUND(INDEX(卡牌图鉴!$AB$2:$AB$53,MATCH(monster!C197,卡牌图鉴!$C$2:$C$57,0)) * INDEX(数值规划表!$D$61:$D$71,monster!E197+1)*血量调整,2)</f>
        <v>53.24</v>
      </c>
      <c r="H197" s="15">
        <f>ROUND(INDEX(卡牌图鉴!$AA$2:$AA$53,MATCH(monster!C197,卡牌图鉴!$C$2:$C$53,0)) * INDEX(数值规划表!$C$61:$C$71,monster!E197+1),2)</f>
        <v>141.08000000000001</v>
      </c>
      <c r="I197" s="15">
        <f>ROUND(INDEX(卡牌图鉴!$AA$2:$AA$53,MATCH(monster!C197,卡牌图鉴!$C$2:$C$53,0)) * INDEX(数值规划表!$E$61:$E$71,monster!E197+1),2)</f>
        <v>4.2300000000000004</v>
      </c>
      <c r="J197" s="15">
        <f>INDEX(卡牌图鉴!$J$2:$J$53,MATCH(monster!C197,卡牌图鉴!$C$2:$C$53,0))</f>
        <v>1.2</v>
      </c>
      <c r="K197" s="15">
        <f>INDEX(卡牌图鉴!$S$2:$S$53,MATCH(monster!C197,卡牌图鉴!$C$2:$C$53,0))</f>
        <v>1</v>
      </c>
      <c r="L197" s="15">
        <f>INDEX(卡牌图鉴!$H$2:$H$53,MATCH(monster!C197,卡牌图鉴!$C$2:$C$53,0))</f>
        <v>0.8</v>
      </c>
      <c r="M197" s="15">
        <f>INDEX(卡牌图鉴!$L$2:$L$53,MATCH(monster!C197,卡牌图鉴!$C$2:$C$53,0))</f>
        <v>4</v>
      </c>
      <c r="N197" s="15">
        <f>INDEX(卡牌图鉴!$AD$2:$AD$53,MATCH(monster!C197,卡牌图鉴!$C$2:$C$53,0))</f>
        <v>8</v>
      </c>
      <c r="O197" s="78">
        <f>INDEX(卡牌图鉴!$K$2:$K$53,MATCH(monster!C197,卡牌图鉴!$C$2:$C$53,0))</f>
        <v>4</v>
      </c>
    </row>
    <row r="198" spans="1:15" x14ac:dyDescent="0.15">
      <c r="A198" s="31">
        <v>1136</v>
      </c>
      <c r="B198" s="31" t="s">
        <v>258</v>
      </c>
      <c r="C198" s="31">
        <v>1127</v>
      </c>
      <c r="D198" s="15">
        <f>INDEX(卡牌图鉴!$S$2:$S$53,MATCH(monster!C198,卡牌图鉴!$C$2:$C$53,0))</f>
        <v>1</v>
      </c>
      <c r="E198" s="31">
        <v>9</v>
      </c>
      <c r="F198" s="15">
        <f>INT(INDEX(卡牌图鉴!$AB$2:$AB$53,MATCH(monster!C198,卡牌图鉴!$C$2:$C$57,0)) * INDEX(数值规划表!$B$61:$B$71,monster!E198+1) * 血量调整)</f>
        <v>1987</v>
      </c>
      <c r="G198" s="15">
        <f>ROUND(INDEX(卡牌图鉴!$AB$2:$AB$53,MATCH(monster!C198,卡牌图鉴!$C$2:$C$57,0)) * INDEX(数值规划表!$D$61:$D$71,monster!E198+1)*血量调整,2)</f>
        <v>59.63</v>
      </c>
      <c r="H198" s="15">
        <f>ROUND(INDEX(卡牌图鉴!$AA$2:$AA$53,MATCH(monster!C198,卡牌图鉴!$C$2:$C$53,0)) * INDEX(数值规划表!$C$61:$C$71,monster!E198+1),2)</f>
        <v>158.01</v>
      </c>
      <c r="I198" s="15">
        <f>ROUND(INDEX(卡牌图鉴!$AA$2:$AA$53,MATCH(monster!C198,卡牌图鉴!$C$2:$C$53,0)) * INDEX(数值规划表!$E$61:$E$71,monster!E198+1),2)</f>
        <v>4.74</v>
      </c>
      <c r="J198" s="15">
        <f>INDEX(卡牌图鉴!$J$2:$J$53,MATCH(monster!C198,卡牌图鉴!$C$2:$C$53,0))</f>
        <v>1.2</v>
      </c>
      <c r="K198" s="15">
        <f>INDEX(卡牌图鉴!$S$2:$S$53,MATCH(monster!C198,卡牌图鉴!$C$2:$C$53,0))</f>
        <v>1</v>
      </c>
      <c r="L198" s="15">
        <f>INDEX(卡牌图鉴!$H$2:$H$53,MATCH(monster!C198,卡牌图鉴!$C$2:$C$53,0))</f>
        <v>0.8</v>
      </c>
      <c r="M198" s="15">
        <f>INDEX(卡牌图鉴!$L$2:$L$53,MATCH(monster!C198,卡牌图鉴!$C$2:$C$53,0))</f>
        <v>4</v>
      </c>
      <c r="N198" s="15">
        <f>INDEX(卡牌图鉴!$AD$2:$AD$53,MATCH(monster!C198,卡牌图鉴!$C$2:$C$53,0))</f>
        <v>8</v>
      </c>
      <c r="O198" s="78">
        <f>INDEX(卡牌图鉴!$K$2:$K$53,MATCH(monster!C198,卡牌图鉴!$C$2:$C$53,0))</f>
        <v>4</v>
      </c>
    </row>
    <row r="199" spans="1:15" x14ac:dyDescent="0.15">
      <c r="A199" s="31">
        <v>1137</v>
      </c>
      <c r="B199" s="31" t="s">
        <v>259</v>
      </c>
      <c r="C199" s="31">
        <v>1127</v>
      </c>
      <c r="D199" s="15">
        <f>INDEX(卡牌图鉴!$S$2:$S$53,MATCH(monster!C199,卡牌图鉴!$C$2:$C$53,0))</f>
        <v>1</v>
      </c>
      <c r="E199" s="31">
        <v>10</v>
      </c>
      <c r="F199" s="15">
        <f>INT(INDEX(卡牌图鉴!$AB$2:$AB$53,MATCH(monster!C199,卡牌图鉴!$C$2:$C$57,0)) * INDEX(数值规划表!$B$61:$B$71,monster!E199+1) * 血量调整)</f>
        <v>2226</v>
      </c>
      <c r="G199" s="15">
        <f>ROUND(INDEX(卡牌图鉴!$AB$2:$AB$53,MATCH(monster!C199,卡牌图鉴!$C$2:$C$57,0)) * INDEX(数值规划表!$D$61:$D$71,monster!E199+1)*血量调整,2)</f>
        <v>66.78</v>
      </c>
      <c r="H199" s="15">
        <f>ROUND(INDEX(卡牌图鉴!$AA$2:$AA$53,MATCH(monster!C199,卡牌图鉴!$C$2:$C$53,0)) * INDEX(数值规划表!$C$61:$C$71,monster!E199+1),2)</f>
        <v>176.97</v>
      </c>
      <c r="I199" s="15">
        <f>ROUND(INDEX(卡牌图鉴!$AA$2:$AA$53,MATCH(monster!C199,卡牌图鉴!$C$2:$C$53,0)) * INDEX(数值规划表!$E$61:$E$71,monster!E199+1),2)</f>
        <v>5.31</v>
      </c>
      <c r="J199" s="15">
        <f>INDEX(卡牌图鉴!$J$2:$J$53,MATCH(monster!C199,卡牌图鉴!$C$2:$C$53,0))</f>
        <v>1.2</v>
      </c>
      <c r="K199" s="15">
        <f>INDEX(卡牌图鉴!$S$2:$S$53,MATCH(monster!C199,卡牌图鉴!$C$2:$C$53,0))</f>
        <v>1</v>
      </c>
      <c r="L199" s="15">
        <f>INDEX(卡牌图鉴!$H$2:$H$53,MATCH(monster!C199,卡牌图鉴!$C$2:$C$53,0))</f>
        <v>0.8</v>
      </c>
      <c r="M199" s="15">
        <f>INDEX(卡牌图鉴!$L$2:$L$53,MATCH(monster!C199,卡牌图鉴!$C$2:$C$53,0))</f>
        <v>4</v>
      </c>
      <c r="N199" s="15">
        <f>INDEX(卡牌图鉴!$AD$2:$AD$53,MATCH(monster!C199,卡牌图鉴!$C$2:$C$53,0))</f>
        <v>8</v>
      </c>
      <c r="O199" s="78">
        <f>INDEX(卡牌图鉴!$K$2:$K$53,MATCH(monster!C199,卡牌图鉴!$C$2:$C$53,0))</f>
        <v>4</v>
      </c>
    </row>
    <row r="200" spans="1:15" x14ac:dyDescent="0.15">
      <c r="A200" s="31">
        <v>1539</v>
      </c>
      <c r="B200" s="31" t="s">
        <v>1439</v>
      </c>
      <c r="C200" s="31">
        <v>1539</v>
      </c>
      <c r="D200" s="15">
        <f>INDEX(卡牌图鉴!$S$2:$S$53,MATCH(monster!C200,卡牌图鉴!$C$2:$C$53,0))</f>
        <v>3</v>
      </c>
      <c r="E200" s="31">
        <v>0</v>
      </c>
      <c r="F200" s="15">
        <f>INT(INDEX(卡牌图鉴!$AB$2:$AB$53,MATCH(monster!C200,卡牌图鉴!$C$2:$C$57,0)) * INDEX(数值规划表!$B$61:$B$71,monster!E200+1) * 血量调整)</f>
        <v>276</v>
      </c>
      <c r="G200" s="15">
        <f>ROUND(INDEX(卡牌图鉴!$AB$2:$AB$53,MATCH(monster!C200,卡牌图鉴!$C$2:$C$57,0)) * INDEX(数值规划表!$D$61:$D$71,monster!E200+1)*血量调整,2)</f>
        <v>8.2799999999999994</v>
      </c>
      <c r="H200" s="15">
        <f>ROUND(INDEX(卡牌图鉴!$AA$2:$AA$53,MATCH(monster!C200,卡牌图鉴!$C$2:$C$53,0)) * INDEX(数值规划表!$C$61:$C$71,monster!E200+1),2)</f>
        <v>44.2</v>
      </c>
      <c r="I200" s="15">
        <f>ROUND(INDEX(卡牌图鉴!$AA$2:$AA$53,MATCH(monster!C200,卡牌图鉴!$C$2:$C$53,0)) * INDEX(数值规划表!$E$61:$E$71,monster!E200+1),2)</f>
        <v>1.33</v>
      </c>
      <c r="J200" s="15">
        <f>INDEX(卡牌图鉴!$J$2:$J$53,MATCH(monster!C200,卡牌图鉴!$C$2:$C$53,0))</f>
        <v>5</v>
      </c>
      <c r="K200" s="15">
        <f>INDEX(卡牌图鉴!$S$2:$S$53,MATCH(monster!C200,卡牌图鉴!$C$2:$C$53,0))</f>
        <v>3</v>
      </c>
      <c r="L200" s="15">
        <f>INDEX(卡牌图鉴!$H$2:$H$53,MATCH(monster!C200,卡牌图鉴!$C$2:$C$53,0))</f>
        <v>1.4</v>
      </c>
      <c r="M200" s="15">
        <f>INDEX(卡牌图鉴!$L$2:$L$53,MATCH(monster!C200,卡牌图鉴!$C$2:$C$53,0))</f>
        <v>5</v>
      </c>
      <c r="N200" s="15">
        <f>INDEX(卡牌图鉴!$AD$2:$AD$53,MATCH(monster!C200,卡牌图鉴!$C$2:$C$53,0))</f>
        <v>8</v>
      </c>
      <c r="O200" s="78">
        <f>INDEX(卡牌图鉴!$K$2:$K$53,MATCH(monster!C200,卡牌图鉴!$C$2:$C$53,0))</f>
        <v>3</v>
      </c>
    </row>
    <row r="201" spans="1:15" x14ac:dyDescent="0.15">
      <c r="A201" s="31">
        <v>1540</v>
      </c>
      <c r="B201" s="31" t="s">
        <v>1440</v>
      </c>
      <c r="C201" s="31">
        <v>1539</v>
      </c>
      <c r="D201" s="15">
        <f>INDEX(卡牌图鉴!$S$2:$S$53,MATCH(monster!C201,卡牌图鉴!$C$2:$C$53,0))</f>
        <v>3</v>
      </c>
      <c r="E201" s="31">
        <v>1</v>
      </c>
      <c r="F201" s="15">
        <f>INT(INDEX(卡牌图鉴!$AB$2:$AB$53,MATCH(monster!C201,卡牌图鉴!$C$2:$C$57,0)) * INDEX(数值规划表!$B$61:$B$71,monster!E201+1) * 血量调整)</f>
        <v>309</v>
      </c>
      <c r="G201" s="15">
        <f>ROUND(INDEX(卡牌图鉴!$AB$2:$AB$53,MATCH(monster!C201,卡牌图鉴!$C$2:$C$57,0)) * INDEX(数值规划表!$D$61:$D$71,monster!E201+1)*血量调整,2)</f>
        <v>9.2799999999999994</v>
      </c>
      <c r="H201" s="15">
        <f>ROUND(INDEX(卡牌图鉴!$AA$2:$AA$53,MATCH(monster!C201,卡牌图鉴!$C$2:$C$53,0)) * INDEX(数值规划表!$C$61:$C$71,monster!E201+1),2)</f>
        <v>49.5</v>
      </c>
      <c r="I201" s="15">
        <f>ROUND(INDEX(卡牌图鉴!$AA$2:$AA$53,MATCH(monster!C201,卡牌图鉴!$C$2:$C$53,0)) * INDEX(数值规划表!$E$61:$E$71,monster!E201+1),2)</f>
        <v>1.49</v>
      </c>
      <c r="J201" s="15">
        <f>INDEX(卡牌图鉴!$J$2:$J$53,MATCH(monster!C201,卡牌图鉴!$C$2:$C$53,0))</f>
        <v>5</v>
      </c>
      <c r="K201" s="15">
        <f>INDEX(卡牌图鉴!$S$2:$S$53,MATCH(monster!C201,卡牌图鉴!$C$2:$C$53,0))</f>
        <v>3</v>
      </c>
      <c r="L201" s="15">
        <f>INDEX(卡牌图鉴!$H$2:$H$53,MATCH(monster!C201,卡牌图鉴!$C$2:$C$53,0))</f>
        <v>1.4</v>
      </c>
      <c r="M201" s="15">
        <f>INDEX(卡牌图鉴!$L$2:$L$53,MATCH(monster!C201,卡牌图鉴!$C$2:$C$53,0))</f>
        <v>5</v>
      </c>
      <c r="N201" s="15">
        <f>INDEX(卡牌图鉴!$AD$2:$AD$53,MATCH(monster!C201,卡牌图鉴!$C$2:$C$53,0))</f>
        <v>8</v>
      </c>
      <c r="O201" s="78">
        <f>INDEX(卡牌图鉴!$K$2:$K$53,MATCH(monster!C201,卡牌图鉴!$C$2:$C$53,0))</f>
        <v>3</v>
      </c>
    </row>
    <row r="202" spans="1:15" x14ac:dyDescent="0.15">
      <c r="A202" s="31">
        <v>1541</v>
      </c>
      <c r="B202" s="31" t="s">
        <v>569</v>
      </c>
      <c r="C202" s="31">
        <v>1539</v>
      </c>
      <c r="D202" s="15">
        <f>INDEX(卡牌图鉴!$S$2:$S$53,MATCH(monster!C202,卡牌图鉴!$C$2:$C$53,0))</f>
        <v>3</v>
      </c>
      <c r="E202" s="31">
        <v>2</v>
      </c>
      <c r="F202" s="15">
        <f>INT(INDEX(卡牌图鉴!$AB$2:$AB$53,MATCH(monster!C202,卡牌图鉴!$C$2:$C$57,0)) * INDEX(数值规划表!$B$61:$B$71,monster!E202+1) * 血量调整)</f>
        <v>346</v>
      </c>
      <c r="G202" s="15">
        <f>ROUND(INDEX(卡牌图鉴!$AB$2:$AB$53,MATCH(monster!C202,卡牌图鉴!$C$2:$C$57,0)) * INDEX(数值规划表!$D$61:$D$71,monster!E202+1)*血量调整,2)</f>
        <v>10.39</v>
      </c>
      <c r="H202" s="15">
        <f>ROUND(INDEX(卡牌图鉴!$AA$2:$AA$53,MATCH(monster!C202,卡牌图鉴!$C$2:$C$53,0)) * INDEX(数值规划表!$C$61:$C$71,monster!E202+1),2)</f>
        <v>55.44</v>
      </c>
      <c r="I202" s="15">
        <f>ROUND(INDEX(卡牌图鉴!$AA$2:$AA$53,MATCH(monster!C202,卡牌图鉴!$C$2:$C$53,0)) * INDEX(数值规划表!$E$61:$E$71,monster!E202+1),2)</f>
        <v>1.66</v>
      </c>
      <c r="J202" s="15">
        <f>INDEX(卡牌图鉴!$J$2:$J$53,MATCH(monster!C202,卡牌图鉴!$C$2:$C$53,0))</f>
        <v>5</v>
      </c>
      <c r="K202" s="15">
        <f>INDEX(卡牌图鉴!$S$2:$S$53,MATCH(monster!C202,卡牌图鉴!$C$2:$C$53,0))</f>
        <v>3</v>
      </c>
      <c r="L202" s="15">
        <f>INDEX(卡牌图鉴!$H$2:$H$53,MATCH(monster!C202,卡牌图鉴!$C$2:$C$53,0))</f>
        <v>1.4</v>
      </c>
      <c r="M202" s="15">
        <f>INDEX(卡牌图鉴!$L$2:$L$53,MATCH(monster!C202,卡牌图鉴!$C$2:$C$53,0))</f>
        <v>5</v>
      </c>
      <c r="N202" s="15">
        <f>INDEX(卡牌图鉴!$AD$2:$AD$53,MATCH(monster!C202,卡牌图鉴!$C$2:$C$53,0))</f>
        <v>8</v>
      </c>
      <c r="O202" s="78">
        <f>INDEX(卡牌图鉴!$K$2:$K$53,MATCH(monster!C202,卡牌图鉴!$C$2:$C$53,0))</f>
        <v>3</v>
      </c>
    </row>
    <row r="203" spans="1:15" x14ac:dyDescent="0.15">
      <c r="A203" s="31">
        <v>1542</v>
      </c>
      <c r="B203" s="31" t="s">
        <v>570</v>
      </c>
      <c r="C203" s="31">
        <v>1539</v>
      </c>
      <c r="D203" s="15">
        <f>INDEX(卡牌图鉴!$S$2:$S$53,MATCH(monster!C203,卡牌图鉴!$C$2:$C$53,0))</f>
        <v>3</v>
      </c>
      <c r="E203" s="31">
        <v>3</v>
      </c>
      <c r="F203" s="15">
        <f>INT(INDEX(卡牌图鉴!$AB$2:$AB$53,MATCH(monster!C203,卡牌图鉴!$C$2:$C$57,0)) * INDEX(数值规划表!$B$61:$B$71,monster!E203+1) * 血量调整)</f>
        <v>387</v>
      </c>
      <c r="G203" s="15">
        <f>ROUND(INDEX(卡牌图鉴!$AB$2:$AB$53,MATCH(monster!C203,卡牌图鉴!$C$2:$C$57,0)) * INDEX(数值规划表!$D$61:$D$71,monster!E203+1)*血量调整,2)</f>
        <v>11.64</v>
      </c>
      <c r="H203" s="15">
        <f>ROUND(INDEX(卡牌图鉴!$AA$2:$AA$53,MATCH(monster!C203,卡牌图鉴!$C$2:$C$53,0)) * INDEX(数值规划表!$C$61:$C$71,monster!E203+1),2)</f>
        <v>62.1</v>
      </c>
      <c r="I203" s="15">
        <f>ROUND(INDEX(卡牌图鉴!$AA$2:$AA$53,MATCH(monster!C203,卡牌图鉴!$C$2:$C$53,0)) * INDEX(数值规划表!$E$61:$E$71,monster!E203+1),2)</f>
        <v>1.86</v>
      </c>
      <c r="J203" s="15">
        <f>INDEX(卡牌图鉴!$J$2:$J$53,MATCH(monster!C203,卡牌图鉴!$C$2:$C$53,0))</f>
        <v>5</v>
      </c>
      <c r="K203" s="15">
        <f>INDEX(卡牌图鉴!$S$2:$S$53,MATCH(monster!C203,卡牌图鉴!$C$2:$C$53,0))</f>
        <v>3</v>
      </c>
      <c r="L203" s="15">
        <f>INDEX(卡牌图鉴!$H$2:$H$53,MATCH(monster!C203,卡牌图鉴!$C$2:$C$53,0))</f>
        <v>1.4</v>
      </c>
      <c r="M203" s="15">
        <f>INDEX(卡牌图鉴!$L$2:$L$53,MATCH(monster!C203,卡牌图鉴!$C$2:$C$53,0))</f>
        <v>5</v>
      </c>
      <c r="N203" s="15">
        <f>INDEX(卡牌图鉴!$AD$2:$AD$53,MATCH(monster!C203,卡牌图鉴!$C$2:$C$53,0))</f>
        <v>8</v>
      </c>
      <c r="O203" s="78">
        <f>INDEX(卡牌图鉴!$K$2:$K$53,MATCH(monster!C203,卡牌图鉴!$C$2:$C$53,0))</f>
        <v>3</v>
      </c>
    </row>
    <row r="204" spans="1:15" x14ac:dyDescent="0.15">
      <c r="A204" s="31">
        <v>1543</v>
      </c>
      <c r="B204" s="31" t="s">
        <v>571</v>
      </c>
      <c r="C204" s="31">
        <v>1539</v>
      </c>
      <c r="D204" s="15">
        <f>INDEX(卡牌图鉴!$S$2:$S$53,MATCH(monster!C204,卡牌图鉴!$C$2:$C$53,0))</f>
        <v>3</v>
      </c>
      <c r="E204" s="31">
        <v>4</v>
      </c>
      <c r="F204" s="15">
        <f>INT(INDEX(卡牌图鉴!$AB$2:$AB$53,MATCH(monster!C204,卡牌图鉴!$C$2:$C$57,0)) * INDEX(数值规划表!$B$61:$B$71,monster!E204+1) * 血量调整)</f>
        <v>434</v>
      </c>
      <c r="G204" s="15">
        <f>ROUND(INDEX(卡牌图鉴!$AB$2:$AB$53,MATCH(monster!C204,卡牌图鉴!$C$2:$C$57,0)) * INDEX(数值规划表!$D$61:$D$71,monster!E204+1)*血量调整,2)</f>
        <v>13.03</v>
      </c>
      <c r="H204" s="15">
        <f>ROUND(INDEX(卡牌图鉴!$AA$2:$AA$53,MATCH(monster!C204,卡牌图鉴!$C$2:$C$53,0)) * INDEX(数值规划表!$C$61:$C$71,monster!E204+1),2)</f>
        <v>69.55</v>
      </c>
      <c r="I204" s="15">
        <f>ROUND(INDEX(卡牌图鉴!$AA$2:$AA$53,MATCH(monster!C204,卡牌图鉴!$C$2:$C$53,0)) * INDEX(数值规划表!$E$61:$E$71,monster!E204+1),2)</f>
        <v>2.09</v>
      </c>
      <c r="J204" s="15">
        <f>INDEX(卡牌图鉴!$J$2:$J$53,MATCH(monster!C204,卡牌图鉴!$C$2:$C$53,0))</f>
        <v>5</v>
      </c>
      <c r="K204" s="15">
        <f>INDEX(卡牌图鉴!$S$2:$S$53,MATCH(monster!C204,卡牌图鉴!$C$2:$C$53,0))</f>
        <v>3</v>
      </c>
      <c r="L204" s="15">
        <f>INDEX(卡牌图鉴!$H$2:$H$53,MATCH(monster!C204,卡牌图鉴!$C$2:$C$53,0))</f>
        <v>1.4</v>
      </c>
      <c r="M204" s="15">
        <f>INDEX(卡牌图鉴!$L$2:$L$53,MATCH(monster!C204,卡牌图鉴!$C$2:$C$53,0))</f>
        <v>5</v>
      </c>
      <c r="N204" s="15">
        <f>INDEX(卡牌图鉴!$AD$2:$AD$53,MATCH(monster!C204,卡牌图鉴!$C$2:$C$53,0))</f>
        <v>8</v>
      </c>
      <c r="O204" s="78">
        <f>INDEX(卡牌图鉴!$K$2:$K$53,MATCH(monster!C204,卡牌图鉴!$C$2:$C$53,0))</f>
        <v>3</v>
      </c>
    </row>
    <row r="205" spans="1:15" x14ac:dyDescent="0.15">
      <c r="A205" s="31">
        <v>1544</v>
      </c>
      <c r="B205" s="31" t="s">
        <v>572</v>
      </c>
      <c r="C205" s="31">
        <v>1539</v>
      </c>
      <c r="D205" s="15">
        <f>INDEX(卡牌图鉴!$S$2:$S$53,MATCH(monster!C205,卡牌图鉴!$C$2:$C$53,0))</f>
        <v>3</v>
      </c>
      <c r="E205" s="31">
        <v>5</v>
      </c>
      <c r="F205" s="15">
        <f>INT(INDEX(卡牌图鉴!$AB$2:$AB$53,MATCH(monster!C205,卡牌图鉴!$C$2:$C$57,0)) * INDEX(数值规划表!$B$61:$B$71,monster!E205+1) * 血量调整)</f>
        <v>486</v>
      </c>
      <c r="G205" s="15">
        <f>ROUND(INDEX(卡牌图鉴!$AB$2:$AB$53,MATCH(monster!C205,卡牌图鉴!$C$2:$C$57,0)) * INDEX(数值规划表!$D$61:$D$71,monster!E205+1)*血量调整,2)</f>
        <v>14.6</v>
      </c>
      <c r="H205" s="15">
        <f>ROUND(INDEX(卡牌图鉴!$AA$2:$AA$53,MATCH(monster!C205,卡牌图鉴!$C$2:$C$53,0)) * INDEX(数值规划表!$C$61:$C$71,monster!E205+1),2)</f>
        <v>77.900000000000006</v>
      </c>
      <c r="I205" s="15">
        <f>ROUND(INDEX(卡牌图鉴!$AA$2:$AA$53,MATCH(monster!C205,卡牌图鉴!$C$2:$C$53,0)) * INDEX(数值规划表!$E$61:$E$71,monster!E205+1),2)</f>
        <v>2.34</v>
      </c>
      <c r="J205" s="15">
        <f>INDEX(卡牌图鉴!$J$2:$J$53,MATCH(monster!C205,卡牌图鉴!$C$2:$C$53,0))</f>
        <v>5</v>
      </c>
      <c r="K205" s="15">
        <f>INDEX(卡牌图鉴!$S$2:$S$53,MATCH(monster!C205,卡牌图鉴!$C$2:$C$53,0))</f>
        <v>3</v>
      </c>
      <c r="L205" s="15">
        <f>INDEX(卡牌图鉴!$H$2:$H$53,MATCH(monster!C205,卡牌图鉴!$C$2:$C$53,0))</f>
        <v>1.4</v>
      </c>
      <c r="M205" s="15">
        <f>INDEX(卡牌图鉴!$L$2:$L$53,MATCH(monster!C205,卡牌图鉴!$C$2:$C$53,0))</f>
        <v>5</v>
      </c>
      <c r="N205" s="15">
        <f>INDEX(卡牌图鉴!$AD$2:$AD$53,MATCH(monster!C205,卡牌图鉴!$C$2:$C$53,0))</f>
        <v>8</v>
      </c>
      <c r="O205" s="78">
        <f>INDEX(卡牌图鉴!$K$2:$K$53,MATCH(monster!C205,卡牌图鉴!$C$2:$C$53,0))</f>
        <v>3</v>
      </c>
    </row>
    <row r="206" spans="1:15" x14ac:dyDescent="0.15">
      <c r="A206" s="31">
        <v>1545</v>
      </c>
      <c r="B206" s="31" t="s">
        <v>573</v>
      </c>
      <c r="C206" s="31">
        <v>1539</v>
      </c>
      <c r="D206" s="15">
        <f>INDEX(卡牌图鉴!$S$2:$S$53,MATCH(monster!C206,卡牌图鉴!$C$2:$C$53,0))</f>
        <v>3</v>
      </c>
      <c r="E206" s="31">
        <v>6</v>
      </c>
      <c r="F206" s="15">
        <f>INT(INDEX(卡牌图鉴!$AB$2:$AB$53,MATCH(monster!C206,卡牌图鉴!$C$2:$C$57,0)) * INDEX(数值规划表!$B$61:$B$71,monster!E206+1) * 血量调整)</f>
        <v>544</v>
      </c>
      <c r="G206" s="15">
        <f>ROUND(INDEX(卡牌图鉴!$AB$2:$AB$53,MATCH(monster!C206,卡牌图鉴!$C$2:$C$57,0)) * INDEX(数值规划表!$D$61:$D$71,monster!E206+1)*血量调整,2)</f>
        <v>16.350000000000001</v>
      </c>
      <c r="H206" s="15">
        <f>ROUND(INDEX(卡牌图鉴!$AA$2:$AA$53,MATCH(monster!C206,卡牌图鉴!$C$2:$C$53,0)) * INDEX(数值规划表!$C$61:$C$71,monster!E206+1),2)</f>
        <v>87.24</v>
      </c>
      <c r="I206" s="15">
        <f>ROUND(INDEX(卡牌图鉴!$AA$2:$AA$53,MATCH(monster!C206,卡牌图鉴!$C$2:$C$53,0)) * INDEX(数值规划表!$E$61:$E$71,monster!E206+1),2)</f>
        <v>2.62</v>
      </c>
      <c r="J206" s="15">
        <f>INDEX(卡牌图鉴!$J$2:$J$53,MATCH(monster!C206,卡牌图鉴!$C$2:$C$53,0))</f>
        <v>5</v>
      </c>
      <c r="K206" s="15">
        <f>INDEX(卡牌图鉴!$S$2:$S$53,MATCH(monster!C206,卡牌图鉴!$C$2:$C$53,0))</f>
        <v>3</v>
      </c>
      <c r="L206" s="15">
        <f>INDEX(卡牌图鉴!$H$2:$H$53,MATCH(monster!C206,卡牌图鉴!$C$2:$C$53,0))</f>
        <v>1.4</v>
      </c>
      <c r="M206" s="15">
        <f>INDEX(卡牌图鉴!$L$2:$L$53,MATCH(monster!C206,卡牌图鉴!$C$2:$C$53,0))</f>
        <v>5</v>
      </c>
      <c r="N206" s="15">
        <f>INDEX(卡牌图鉴!$AD$2:$AD$53,MATCH(monster!C206,卡牌图鉴!$C$2:$C$53,0))</f>
        <v>8</v>
      </c>
      <c r="O206" s="78">
        <f>INDEX(卡牌图鉴!$K$2:$K$53,MATCH(monster!C206,卡牌图鉴!$C$2:$C$53,0))</f>
        <v>3</v>
      </c>
    </row>
    <row r="207" spans="1:15" x14ac:dyDescent="0.15">
      <c r="A207" s="31">
        <v>1546</v>
      </c>
      <c r="B207" s="31" t="s">
        <v>574</v>
      </c>
      <c r="C207" s="31">
        <v>1539</v>
      </c>
      <c r="D207" s="15">
        <f>INDEX(卡牌图鉴!$S$2:$S$53,MATCH(monster!C207,卡牌图鉴!$C$2:$C$53,0))</f>
        <v>3</v>
      </c>
      <c r="E207" s="31">
        <v>7</v>
      </c>
      <c r="F207" s="15">
        <f>INT(INDEX(卡牌图鉴!$AB$2:$AB$53,MATCH(monster!C207,卡牌图鉴!$C$2:$C$57,0)) * INDEX(数值规划表!$B$61:$B$71,monster!E207+1) * 血量调整)</f>
        <v>610</v>
      </c>
      <c r="G207" s="15">
        <f>ROUND(INDEX(卡牌图鉴!$AB$2:$AB$53,MATCH(monster!C207,卡牌图鉴!$C$2:$C$57,0)) * INDEX(数值规划表!$D$61:$D$71,monster!E207+1)*血量调整,2)</f>
        <v>18.309999999999999</v>
      </c>
      <c r="H207" s="15">
        <f>ROUND(INDEX(卡牌图鉴!$AA$2:$AA$53,MATCH(monster!C207,卡牌图鉴!$C$2:$C$53,0)) * INDEX(数值规划表!$C$61:$C$71,monster!E207+1),2)</f>
        <v>97.71</v>
      </c>
      <c r="I207" s="15">
        <f>ROUND(INDEX(卡牌图鉴!$AA$2:$AA$53,MATCH(monster!C207,卡牌图鉴!$C$2:$C$53,0)) * INDEX(数值规划表!$E$61:$E$71,monster!E207+1),2)</f>
        <v>2.93</v>
      </c>
      <c r="J207" s="15">
        <f>INDEX(卡牌图鉴!$J$2:$J$53,MATCH(monster!C207,卡牌图鉴!$C$2:$C$53,0))</f>
        <v>5</v>
      </c>
      <c r="K207" s="15">
        <f>INDEX(卡牌图鉴!$S$2:$S$53,MATCH(monster!C207,卡牌图鉴!$C$2:$C$53,0))</f>
        <v>3</v>
      </c>
      <c r="L207" s="15">
        <f>INDEX(卡牌图鉴!$H$2:$H$53,MATCH(monster!C207,卡牌图鉴!$C$2:$C$53,0))</f>
        <v>1.4</v>
      </c>
      <c r="M207" s="15">
        <f>INDEX(卡牌图鉴!$L$2:$L$53,MATCH(monster!C207,卡牌图鉴!$C$2:$C$53,0))</f>
        <v>5</v>
      </c>
      <c r="N207" s="15">
        <f>INDEX(卡牌图鉴!$AD$2:$AD$53,MATCH(monster!C207,卡牌图鉴!$C$2:$C$53,0))</f>
        <v>8</v>
      </c>
      <c r="O207" s="78">
        <f>INDEX(卡牌图鉴!$K$2:$K$53,MATCH(monster!C207,卡牌图鉴!$C$2:$C$53,0))</f>
        <v>3</v>
      </c>
    </row>
    <row r="208" spans="1:15" x14ac:dyDescent="0.15">
      <c r="A208" s="31">
        <v>1547</v>
      </c>
      <c r="B208" s="31" t="s">
        <v>575</v>
      </c>
      <c r="C208" s="31">
        <v>1539</v>
      </c>
      <c r="D208" s="15">
        <f>INDEX(卡牌图鉴!$S$2:$S$53,MATCH(monster!C208,卡牌图鉴!$C$2:$C$53,0))</f>
        <v>3</v>
      </c>
      <c r="E208" s="31">
        <v>8</v>
      </c>
      <c r="F208" s="15">
        <f>INT(INDEX(卡牌图鉴!$AB$2:$AB$53,MATCH(monster!C208,卡牌图鉴!$C$2:$C$57,0)) * INDEX(数值规划表!$B$61:$B$71,monster!E208+1) * 血量调整)</f>
        <v>683</v>
      </c>
      <c r="G208" s="15">
        <f>ROUND(INDEX(卡牌图鉴!$AB$2:$AB$53,MATCH(monster!C208,卡牌图鉴!$C$2:$C$57,0)) * INDEX(数值规划表!$D$61:$D$71,monster!E208+1)*血量调整,2)</f>
        <v>20.51</v>
      </c>
      <c r="H208" s="15">
        <f>ROUND(INDEX(卡牌图鉴!$AA$2:$AA$53,MATCH(monster!C208,卡牌图鉴!$C$2:$C$53,0)) * INDEX(数值规划表!$C$61:$C$71,monster!E208+1),2)</f>
        <v>109.44</v>
      </c>
      <c r="I208" s="15">
        <f>ROUND(INDEX(卡牌图鉴!$AA$2:$AA$53,MATCH(monster!C208,卡牌图鉴!$C$2:$C$53,0)) * INDEX(数值规划表!$E$61:$E$71,monster!E208+1),2)</f>
        <v>3.28</v>
      </c>
      <c r="J208" s="15">
        <f>INDEX(卡牌图鉴!$J$2:$J$53,MATCH(monster!C208,卡牌图鉴!$C$2:$C$53,0))</f>
        <v>5</v>
      </c>
      <c r="K208" s="15">
        <f>INDEX(卡牌图鉴!$S$2:$S$53,MATCH(monster!C208,卡牌图鉴!$C$2:$C$53,0))</f>
        <v>3</v>
      </c>
      <c r="L208" s="15">
        <f>INDEX(卡牌图鉴!$H$2:$H$53,MATCH(monster!C208,卡牌图鉴!$C$2:$C$53,0))</f>
        <v>1.4</v>
      </c>
      <c r="M208" s="15">
        <f>INDEX(卡牌图鉴!$L$2:$L$53,MATCH(monster!C208,卡牌图鉴!$C$2:$C$53,0))</f>
        <v>5</v>
      </c>
      <c r="N208" s="15">
        <f>INDEX(卡牌图鉴!$AD$2:$AD$53,MATCH(monster!C208,卡牌图鉴!$C$2:$C$53,0))</f>
        <v>8</v>
      </c>
      <c r="O208" s="78">
        <f>INDEX(卡牌图鉴!$K$2:$K$53,MATCH(monster!C208,卡牌图鉴!$C$2:$C$53,0))</f>
        <v>3</v>
      </c>
    </row>
    <row r="209" spans="1:15" x14ac:dyDescent="0.15">
      <c r="A209" s="31">
        <v>1548</v>
      </c>
      <c r="B209" s="31" t="s">
        <v>576</v>
      </c>
      <c r="C209" s="31">
        <v>1539</v>
      </c>
      <c r="D209" s="15">
        <f>INDEX(卡牌图鉴!$S$2:$S$53,MATCH(monster!C209,卡牌图鉴!$C$2:$C$53,0))</f>
        <v>3</v>
      </c>
      <c r="E209" s="31">
        <v>9</v>
      </c>
      <c r="F209" s="15">
        <f>INT(INDEX(卡牌图鉴!$AB$2:$AB$53,MATCH(monster!C209,卡牌图鉴!$C$2:$C$57,0)) * INDEX(数值规划表!$B$61:$B$71,monster!E209+1) * 血量调整)</f>
        <v>765</v>
      </c>
      <c r="G209" s="15">
        <f>ROUND(INDEX(卡牌图鉴!$AB$2:$AB$53,MATCH(monster!C209,卡牌图鉴!$C$2:$C$57,0)) * INDEX(数值规划表!$D$61:$D$71,monster!E209+1)*血量调整,2)</f>
        <v>22.97</v>
      </c>
      <c r="H209" s="15">
        <f>ROUND(INDEX(卡牌图鉴!$AA$2:$AA$53,MATCH(monster!C209,卡牌图鉴!$C$2:$C$53,0)) * INDEX(数值规划表!$C$61:$C$71,monster!E209+1),2)</f>
        <v>122.57</v>
      </c>
      <c r="I209" s="15">
        <f>ROUND(INDEX(卡牌图鉴!$AA$2:$AA$53,MATCH(monster!C209,卡牌图鉴!$C$2:$C$53,0)) * INDEX(数值规划表!$E$61:$E$71,monster!E209+1),2)</f>
        <v>3.68</v>
      </c>
      <c r="J209" s="15">
        <f>INDEX(卡牌图鉴!$J$2:$J$53,MATCH(monster!C209,卡牌图鉴!$C$2:$C$53,0))</f>
        <v>5</v>
      </c>
      <c r="K209" s="15">
        <f>INDEX(卡牌图鉴!$S$2:$S$53,MATCH(monster!C209,卡牌图鉴!$C$2:$C$53,0))</f>
        <v>3</v>
      </c>
      <c r="L209" s="15">
        <f>INDEX(卡牌图鉴!$H$2:$H$53,MATCH(monster!C209,卡牌图鉴!$C$2:$C$53,0))</f>
        <v>1.4</v>
      </c>
      <c r="M209" s="15">
        <f>INDEX(卡牌图鉴!$L$2:$L$53,MATCH(monster!C209,卡牌图鉴!$C$2:$C$53,0))</f>
        <v>5</v>
      </c>
      <c r="N209" s="15">
        <f>INDEX(卡牌图鉴!$AD$2:$AD$53,MATCH(monster!C209,卡牌图鉴!$C$2:$C$53,0))</f>
        <v>8</v>
      </c>
      <c r="O209" s="78">
        <f>INDEX(卡牌图鉴!$K$2:$K$53,MATCH(monster!C209,卡牌图鉴!$C$2:$C$53,0))</f>
        <v>3</v>
      </c>
    </row>
    <row r="210" spans="1:15" x14ac:dyDescent="0.15">
      <c r="A210" s="31">
        <v>1549</v>
      </c>
      <c r="B210" s="31" t="s">
        <v>577</v>
      </c>
      <c r="C210" s="31">
        <v>1539</v>
      </c>
      <c r="D210" s="15">
        <f>INDEX(卡牌图鉴!$S$2:$S$53,MATCH(monster!C210,卡牌图鉴!$C$2:$C$53,0))</f>
        <v>3</v>
      </c>
      <c r="E210" s="31">
        <v>10</v>
      </c>
      <c r="F210" s="15">
        <f>INT(INDEX(卡牌图鉴!$AB$2:$AB$53,MATCH(monster!C210,卡牌图鉴!$C$2:$C$57,0)) * INDEX(数值规划表!$B$61:$B$71,monster!E210+1) * 血量调整)</f>
        <v>857</v>
      </c>
      <c r="G210" s="15">
        <f>ROUND(INDEX(卡牌图鉴!$AB$2:$AB$53,MATCH(monster!C210,卡牌图鉴!$C$2:$C$57,0)) * INDEX(数值规划表!$D$61:$D$71,monster!E210+1)*血量调整,2)</f>
        <v>25.73</v>
      </c>
      <c r="H210" s="15">
        <f>ROUND(INDEX(卡牌图鉴!$AA$2:$AA$53,MATCH(monster!C210,卡牌图鉴!$C$2:$C$53,0)) * INDEX(数值规划表!$C$61:$C$71,monster!E210+1),2)</f>
        <v>137.28</v>
      </c>
      <c r="I210" s="15">
        <f>ROUND(INDEX(卡牌图鉴!$AA$2:$AA$53,MATCH(monster!C210,卡牌图鉴!$C$2:$C$53,0)) * INDEX(数值规划表!$E$61:$E$71,monster!E210+1),2)</f>
        <v>4.12</v>
      </c>
      <c r="J210" s="15">
        <f>INDEX(卡牌图鉴!$J$2:$J$53,MATCH(monster!C210,卡牌图鉴!$C$2:$C$53,0))</f>
        <v>5</v>
      </c>
      <c r="K210" s="15">
        <f>INDEX(卡牌图鉴!$S$2:$S$53,MATCH(monster!C210,卡牌图鉴!$C$2:$C$53,0))</f>
        <v>3</v>
      </c>
      <c r="L210" s="15">
        <f>INDEX(卡牌图鉴!$H$2:$H$53,MATCH(monster!C210,卡牌图鉴!$C$2:$C$53,0))</f>
        <v>1.4</v>
      </c>
      <c r="M210" s="15">
        <f>INDEX(卡牌图鉴!$L$2:$L$53,MATCH(monster!C210,卡牌图鉴!$C$2:$C$53,0))</f>
        <v>5</v>
      </c>
      <c r="N210" s="15">
        <f>INDEX(卡牌图鉴!$AD$2:$AD$53,MATCH(monster!C210,卡牌图鉴!$C$2:$C$53,0))</f>
        <v>8</v>
      </c>
      <c r="O210" s="78">
        <f>INDEX(卡牌图鉴!$K$2:$K$53,MATCH(monster!C210,卡牌图鉴!$C$2:$C$53,0))</f>
        <v>3</v>
      </c>
    </row>
    <row r="211" spans="1:15" x14ac:dyDescent="0.15">
      <c r="A211" s="31">
        <v>1506</v>
      </c>
      <c r="B211" s="31" t="s">
        <v>1441</v>
      </c>
      <c r="C211" s="31">
        <v>1506</v>
      </c>
      <c r="D211" s="15">
        <f>INDEX(卡牌图鉴!$S$2:$S$53,MATCH(monster!C211,卡牌图鉴!$C$2:$C$53,0))</f>
        <v>3</v>
      </c>
      <c r="E211" s="31">
        <v>0</v>
      </c>
      <c r="F211" s="15">
        <f>INT(INDEX(卡牌图鉴!$AB$2:$AB$53,MATCH(monster!C211,卡牌图鉴!$C$2:$C$57,0)) * INDEX(数值规划表!$B$61:$B$71,monster!E211+1) * 血量调整)</f>
        <v>124</v>
      </c>
      <c r="G211" s="15">
        <f>ROUND(INDEX(卡牌图鉴!$AB$2:$AB$53,MATCH(monster!C211,卡牌图鉴!$C$2:$C$57,0)) * INDEX(数值规划表!$D$61:$D$71,monster!E211+1)*血量调整,2)</f>
        <v>3.74</v>
      </c>
      <c r="H211" s="15">
        <f>ROUND(INDEX(卡牌图鉴!$AA$2:$AA$53,MATCH(monster!C211,卡牌图鉴!$C$2:$C$53,0)) * INDEX(数值规划表!$C$61:$C$71,monster!E211+1),2)</f>
        <v>46.56</v>
      </c>
      <c r="I211" s="15">
        <f>ROUND(INDEX(卡牌图鉴!$AA$2:$AA$53,MATCH(monster!C211,卡牌图鉴!$C$2:$C$53,0)) * INDEX(数值规划表!$E$61:$E$71,monster!E211+1),2)</f>
        <v>1.4</v>
      </c>
      <c r="J211" s="15">
        <f>INDEX(卡牌图鉴!$J$2:$J$53,MATCH(monster!C211,卡牌图鉴!$C$2:$C$53,0))</f>
        <v>1.2</v>
      </c>
      <c r="K211" s="15">
        <f>INDEX(卡牌图鉴!$S$2:$S$53,MATCH(monster!C211,卡牌图鉴!$C$2:$C$53,0))</f>
        <v>3</v>
      </c>
      <c r="L211" s="15">
        <f>INDEX(卡牌图鉴!$H$2:$H$53,MATCH(monster!C211,卡牌图鉴!$C$2:$C$53,0))</f>
        <v>2</v>
      </c>
      <c r="M211" s="15">
        <f>INDEX(卡牌图鉴!$L$2:$L$53,MATCH(monster!C211,卡牌图鉴!$C$2:$C$53,0))</f>
        <v>3</v>
      </c>
      <c r="N211" s="15">
        <f>INDEX(卡牌图鉴!$AD$2:$AD$53,MATCH(monster!C211,卡牌图鉴!$C$2:$C$53,0))</f>
        <v>8</v>
      </c>
      <c r="O211" s="78">
        <f>INDEX(卡牌图鉴!$K$2:$K$53,MATCH(monster!C211,卡牌图鉴!$C$2:$C$53,0))</f>
        <v>3</v>
      </c>
    </row>
    <row r="212" spans="1:15" x14ac:dyDescent="0.15">
      <c r="A212" s="31">
        <v>1507</v>
      </c>
      <c r="B212" s="31" t="s">
        <v>1442</v>
      </c>
      <c r="C212" s="31">
        <v>1506</v>
      </c>
      <c r="D212" s="15">
        <f>INDEX(卡牌图鉴!$S$2:$S$53,MATCH(monster!C212,卡牌图鉴!$C$2:$C$53,0))</f>
        <v>3</v>
      </c>
      <c r="E212" s="31">
        <v>1</v>
      </c>
      <c r="F212" s="15">
        <f>INT(INDEX(卡牌图鉴!$AB$2:$AB$53,MATCH(monster!C212,卡牌图鉴!$C$2:$C$57,0)) * INDEX(数值规划表!$B$61:$B$71,monster!E212+1) * 血量调整)</f>
        <v>139</v>
      </c>
      <c r="G212" s="15">
        <f>ROUND(INDEX(卡牌图鉴!$AB$2:$AB$53,MATCH(monster!C212,卡牌图鉴!$C$2:$C$57,0)) * INDEX(数值规划表!$D$61:$D$71,monster!E212+1)*血量调整,2)</f>
        <v>4.1900000000000004</v>
      </c>
      <c r="H212" s="15">
        <f>ROUND(INDEX(卡牌图鉴!$AA$2:$AA$53,MATCH(monster!C212,卡牌图鉴!$C$2:$C$53,0)) * INDEX(数值规划表!$C$61:$C$71,monster!E212+1),2)</f>
        <v>52.15</v>
      </c>
      <c r="I212" s="15">
        <f>ROUND(INDEX(卡牌图鉴!$AA$2:$AA$53,MATCH(monster!C212,卡牌图鉴!$C$2:$C$53,0)) * INDEX(数值规划表!$E$61:$E$71,monster!E212+1),2)</f>
        <v>1.56</v>
      </c>
      <c r="J212" s="15">
        <f>INDEX(卡牌图鉴!$J$2:$J$53,MATCH(monster!C212,卡牌图鉴!$C$2:$C$53,0))</f>
        <v>1.2</v>
      </c>
      <c r="K212" s="15">
        <f>INDEX(卡牌图鉴!$S$2:$S$53,MATCH(monster!C212,卡牌图鉴!$C$2:$C$53,0))</f>
        <v>3</v>
      </c>
      <c r="L212" s="15">
        <f>INDEX(卡牌图鉴!$H$2:$H$53,MATCH(monster!C212,卡牌图鉴!$C$2:$C$53,0))</f>
        <v>2</v>
      </c>
      <c r="M212" s="15">
        <f>INDEX(卡牌图鉴!$L$2:$L$53,MATCH(monster!C212,卡牌图鉴!$C$2:$C$53,0))</f>
        <v>3</v>
      </c>
      <c r="N212" s="15">
        <f>INDEX(卡牌图鉴!$AD$2:$AD$53,MATCH(monster!C212,卡牌图鉴!$C$2:$C$53,0))</f>
        <v>8</v>
      </c>
      <c r="O212" s="78">
        <f>INDEX(卡牌图鉴!$K$2:$K$53,MATCH(monster!C212,卡牌图鉴!$C$2:$C$53,0))</f>
        <v>3</v>
      </c>
    </row>
    <row r="213" spans="1:15" x14ac:dyDescent="0.15">
      <c r="A213" s="31">
        <v>1508</v>
      </c>
      <c r="B213" s="31" t="s">
        <v>542</v>
      </c>
      <c r="C213" s="31">
        <v>1506</v>
      </c>
      <c r="D213" s="15">
        <f>INDEX(卡牌图鉴!$S$2:$S$53,MATCH(monster!C213,卡牌图鉴!$C$2:$C$53,0))</f>
        <v>3</v>
      </c>
      <c r="E213" s="31">
        <v>2</v>
      </c>
      <c r="F213" s="15">
        <f>INT(INDEX(卡牌图鉴!$AB$2:$AB$53,MATCH(monster!C213,卡牌图鉴!$C$2:$C$57,0)) * INDEX(数值规划表!$B$61:$B$71,monster!E213+1) * 血量调整)</f>
        <v>156</v>
      </c>
      <c r="G213" s="15">
        <f>ROUND(INDEX(卡牌图鉴!$AB$2:$AB$53,MATCH(monster!C213,卡牌图鉴!$C$2:$C$57,0)) * INDEX(数值规划表!$D$61:$D$71,monster!E213+1)*血量调整,2)</f>
        <v>4.6900000000000004</v>
      </c>
      <c r="H213" s="15">
        <f>ROUND(INDEX(卡牌图鉴!$AA$2:$AA$53,MATCH(monster!C213,卡牌图鉴!$C$2:$C$53,0)) * INDEX(数值规划表!$C$61:$C$71,monster!E213+1),2)</f>
        <v>58.4</v>
      </c>
      <c r="I213" s="15">
        <f>ROUND(INDEX(卡牌图鉴!$AA$2:$AA$53,MATCH(monster!C213,卡牌图鉴!$C$2:$C$53,0)) * INDEX(数值规划表!$E$61:$E$71,monster!E213+1),2)</f>
        <v>1.75</v>
      </c>
      <c r="J213" s="15">
        <f>INDEX(卡牌图鉴!$J$2:$J$53,MATCH(monster!C213,卡牌图鉴!$C$2:$C$53,0))</f>
        <v>1.2</v>
      </c>
      <c r="K213" s="15">
        <f>INDEX(卡牌图鉴!$S$2:$S$53,MATCH(monster!C213,卡牌图鉴!$C$2:$C$53,0))</f>
        <v>3</v>
      </c>
      <c r="L213" s="15">
        <f>INDEX(卡牌图鉴!$H$2:$H$53,MATCH(monster!C213,卡牌图鉴!$C$2:$C$53,0))</f>
        <v>2</v>
      </c>
      <c r="M213" s="15">
        <f>INDEX(卡牌图鉴!$L$2:$L$53,MATCH(monster!C213,卡牌图鉴!$C$2:$C$53,0))</f>
        <v>3</v>
      </c>
      <c r="N213" s="15">
        <f>INDEX(卡牌图鉴!$AD$2:$AD$53,MATCH(monster!C213,卡牌图鉴!$C$2:$C$53,0))</f>
        <v>8</v>
      </c>
      <c r="O213" s="78">
        <f>INDEX(卡牌图鉴!$K$2:$K$53,MATCH(monster!C213,卡牌图鉴!$C$2:$C$53,0))</f>
        <v>3</v>
      </c>
    </row>
    <row r="214" spans="1:15" x14ac:dyDescent="0.15">
      <c r="A214" s="31">
        <v>1509</v>
      </c>
      <c r="B214" s="31" t="s">
        <v>543</v>
      </c>
      <c r="C214" s="31">
        <v>1506</v>
      </c>
      <c r="D214" s="15">
        <f>INDEX(卡牌图鉴!$S$2:$S$53,MATCH(monster!C214,卡牌图鉴!$C$2:$C$53,0))</f>
        <v>3</v>
      </c>
      <c r="E214" s="31">
        <v>3</v>
      </c>
      <c r="F214" s="15">
        <f>INT(INDEX(卡牌图鉴!$AB$2:$AB$53,MATCH(monster!C214,卡牌图鉴!$C$2:$C$57,0)) * INDEX(数值规划表!$B$61:$B$71,monster!E214+1) * 血量调整)</f>
        <v>175</v>
      </c>
      <c r="G214" s="15">
        <f>ROUND(INDEX(卡牌图鉴!$AB$2:$AB$53,MATCH(monster!C214,卡牌图鉴!$C$2:$C$57,0)) * INDEX(数值规划表!$D$61:$D$71,monster!E214+1)*血量调整,2)</f>
        <v>5.25</v>
      </c>
      <c r="H214" s="15">
        <f>ROUND(INDEX(卡牌图鉴!$AA$2:$AA$53,MATCH(monster!C214,卡牌图鉴!$C$2:$C$53,0)) * INDEX(数值规划表!$C$61:$C$71,monster!E214+1),2)</f>
        <v>65.41</v>
      </c>
      <c r="I214" s="15">
        <f>ROUND(INDEX(卡牌图鉴!$AA$2:$AA$53,MATCH(monster!C214,卡牌图鉴!$C$2:$C$53,0)) * INDEX(数值规划表!$E$61:$E$71,monster!E214+1),2)</f>
        <v>1.96</v>
      </c>
      <c r="J214" s="15">
        <f>INDEX(卡牌图鉴!$J$2:$J$53,MATCH(monster!C214,卡牌图鉴!$C$2:$C$53,0))</f>
        <v>1.2</v>
      </c>
      <c r="K214" s="15">
        <f>INDEX(卡牌图鉴!$S$2:$S$53,MATCH(monster!C214,卡牌图鉴!$C$2:$C$53,0))</f>
        <v>3</v>
      </c>
      <c r="L214" s="15">
        <f>INDEX(卡牌图鉴!$H$2:$H$53,MATCH(monster!C214,卡牌图鉴!$C$2:$C$53,0))</f>
        <v>2</v>
      </c>
      <c r="M214" s="15">
        <f>INDEX(卡牌图鉴!$L$2:$L$53,MATCH(monster!C214,卡牌图鉴!$C$2:$C$53,0))</f>
        <v>3</v>
      </c>
      <c r="N214" s="15">
        <f>INDEX(卡牌图鉴!$AD$2:$AD$53,MATCH(monster!C214,卡牌图鉴!$C$2:$C$53,0))</f>
        <v>8</v>
      </c>
      <c r="O214" s="78">
        <f>INDEX(卡牌图鉴!$K$2:$K$53,MATCH(monster!C214,卡牌图鉴!$C$2:$C$53,0))</f>
        <v>3</v>
      </c>
    </row>
    <row r="215" spans="1:15" x14ac:dyDescent="0.15">
      <c r="A215" s="31">
        <v>1510</v>
      </c>
      <c r="B215" s="31" t="s">
        <v>544</v>
      </c>
      <c r="C215" s="31">
        <v>1506</v>
      </c>
      <c r="D215" s="15">
        <f>INDEX(卡牌图鉴!$S$2:$S$53,MATCH(monster!C215,卡牌图鉴!$C$2:$C$53,0))</f>
        <v>3</v>
      </c>
      <c r="E215" s="31">
        <v>4</v>
      </c>
      <c r="F215" s="15">
        <f>INT(INDEX(卡牌图鉴!$AB$2:$AB$53,MATCH(monster!C215,卡牌图鉴!$C$2:$C$57,0)) * INDEX(数值规划表!$B$61:$B$71,monster!E215+1) * 血量调整)</f>
        <v>196</v>
      </c>
      <c r="G215" s="15">
        <f>ROUND(INDEX(卡牌图鉴!$AB$2:$AB$53,MATCH(monster!C215,卡牌图鉴!$C$2:$C$57,0)) * INDEX(数值规划表!$D$61:$D$71,monster!E215+1)*血量调整,2)</f>
        <v>5.88</v>
      </c>
      <c r="H215" s="15">
        <f>ROUND(INDEX(卡牌图鉴!$AA$2:$AA$53,MATCH(monster!C215,卡牌图鉴!$C$2:$C$53,0)) * INDEX(数值规划表!$C$61:$C$71,monster!E215+1),2)</f>
        <v>73.260000000000005</v>
      </c>
      <c r="I215" s="15">
        <f>ROUND(INDEX(卡牌图鉴!$AA$2:$AA$53,MATCH(monster!C215,卡牌图鉴!$C$2:$C$53,0)) * INDEX(数值规划表!$E$61:$E$71,monster!E215+1),2)</f>
        <v>2.2000000000000002</v>
      </c>
      <c r="J215" s="15">
        <f>INDEX(卡牌图鉴!$J$2:$J$53,MATCH(monster!C215,卡牌图鉴!$C$2:$C$53,0))</f>
        <v>1.2</v>
      </c>
      <c r="K215" s="15">
        <f>INDEX(卡牌图鉴!$S$2:$S$53,MATCH(monster!C215,卡牌图鉴!$C$2:$C$53,0))</f>
        <v>3</v>
      </c>
      <c r="L215" s="15">
        <f>INDEX(卡牌图鉴!$H$2:$H$53,MATCH(monster!C215,卡牌图鉴!$C$2:$C$53,0))</f>
        <v>2</v>
      </c>
      <c r="M215" s="15">
        <f>INDEX(卡牌图鉴!$L$2:$L$53,MATCH(monster!C215,卡牌图鉴!$C$2:$C$53,0))</f>
        <v>3</v>
      </c>
      <c r="N215" s="15">
        <f>INDEX(卡牌图鉴!$AD$2:$AD$53,MATCH(monster!C215,卡牌图鉴!$C$2:$C$53,0))</f>
        <v>8</v>
      </c>
      <c r="O215" s="78">
        <f>INDEX(卡牌图鉴!$K$2:$K$53,MATCH(monster!C215,卡牌图鉴!$C$2:$C$53,0))</f>
        <v>3</v>
      </c>
    </row>
    <row r="216" spans="1:15" x14ac:dyDescent="0.15">
      <c r="A216" s="31">
        <v>1511</v>
      </c>
      <c r="B216" s="31" t="s">
        <v>545</v>
      </c>
      <c r="C216" s="31">
        <v>1506</v>
      </c>
      <c r="D216" s="15">
        <f>INDEX(卡牌图鉴!$S$2:$S$53,MATCH(monster!C216,卡牌图鉴!$C$2:$C$53,0))</f>
        <v>3</v>
      </c>
      <c r="E216" s="31">
        <v>5</v>
      </c>
      <c r="F216" s="15">
        <f>INT(INDEX(卡牌图鉴!$AB$2:$AB$53,MATCH(monster!C216,卡牌图鉴!$C$2:$C$57,0)) * INDEX(数值规划表!$B$61:$B$71,monster!E216+1) * 血量调整)</f>
        <v>219</v>
      </c>
      <c r="G216" s="15">
        <f>ROUND(INDEX(卡牌图鉴!$AB$2:$AB$53,MATCH(monster!C216,卡牌图鉴!$C$2:$C$57,0)) * INDEX(数值规划表!$D$61:$D$71,monster!E216+1)*血量调整,2)</f>
        <v>6.59</v>
      </c>
      <c r="H216" s="15">
        <f>ROUND(INDEX(卡牌图鉴!$AA$2:$AA$53,MATCH(monster!C216,卡牌图鉴!$C$2:$C$53,0)) * INDEX(数值规划表!$C$61:$C$71,monster!E216+1),2)</f>
        <v>82.05</v>
      </c>
      <c r="I216" s="15">
        <f>ROUND(INDEX(卡牌图鉴!$AA$2:$AA$53,MATCH(monster!C216,卡牌图鉴!$C$2:$C$53,0)) * INDEX(数值规划表!$E$61:$E$71,monster!E216+1),2)</f>
        <v>2.46</v>
      </c>
      <c r="J216" s="15">
        <f>INDEX(卡牌图鉴!$J$2:$J$53,MATCH(monster!C216,卡牌图鉴!$C$2:$C$53,0))</f>
        <v>1.2</v>
      </c>
      <c r="K216" s="15">
        <f>INDEX(卡牌图鉴!$S$2:$S$53,MATCH(monster!C216,卡牌图鉴!$C$2:$C$53,0))</f>
        <v>3</v>
      </c>
      <c r="L216" s="15">
        <f>INDEX(卡牌图鉴!$H$2:$H$53,MATCH(monster!C216,卡牌图鉴!$C$2:$C$53,0))</f>
        <v>2</v>
      </c>
      <c r="M216" s="15">
        <f>INDEX(卡牌图鉴!$L$2:$L$53,MATCH(monster!C216,卡牌图鉴!$C$2:$C$53,0))</f>
        <v>3</v>
      </c>
      <c r="N216" s="15">
        <f>INDEX(卡牌图鉴!$AD$2:$AD$53,MATCH(monster!C216,卡牌图鉴!$C$2:$C$53,0))</f>
        <v>8</v>
      </c>
      <c r="O216" s="78">
        <f>INDEX(卡牌图鉴!$K$2:$K$53,MATCH(monster!C216,卡牌图鉴!$C$2:$C$53,0))</f>
        <v>3</v>
      </c>
    </row>
    <row r="217" spans="1:15" x14ac:dyDescent="0.15">
      <c r="A217" s="31">
        <v>1512</v>
      </c>
      <c r="B217" s="31" t="s">
        <v>546</v>
      </c>
      <c r="C217" s="31">
        <v>1506</v>
      </c>
      <c r="D217" s="15">
        <f>INDEX(卡牌图鉴!$S$2:$S$53,MATCH(monster!C217,卡牌图鉴!$C$2:$C$53,0))</f>
        <v>3</v>
      </c>
      <c r="E217" s="31">
        <v>6</v>
      </c>
      <c r="F217" s="15">
        <f>INT(INDEX(卡牌图鉴!$AB$2:$AB$53,MATCH(monster!C217,卡牌图鉴!$C$2:$C$57,0)) * INDEX(数值规划表!$B$61:$B$71,monster!E217+1) * 血量调整)</f>
        <v>245</v>
      </c>
      <c r="G217" s="15">
        <f>ROUND(INDEX(卡牌图鉴!$AB$2:$AB$53,MATCH(monster!C217,卡牌图鉴!$C$2:$C$57,0)) * INDEX(数值规划表!$D$61:$D$71,monster!E217+1)*血量调整,2)</f>
        <v>7.38</v>
      </c>
      <c r="H217" s="15">
        <f>ROUND(INDEX(卡牌图鉴!$AA$2:$AA$53,MATCH(monster!C217,卡牌图鉴!$C$2:$C$53,0)) * INDEX(数值规划表!$C$61:$C$71,monster!E217+1),2)</f>
        <v>91.9</v>
      </c>
      <c r="I217" s="15">
        <f>ROUND(INDEX(卡牌图鉴!$AA$2:$AA$53,MATCH(monster!C217,卡牌图鉴!$C$2:$C$53,0)) * INDEX(数值规划表!$E$61:$E$71,monster!E217+1),2)</f>
        <v>2.76</v>
      </c>
      <c r="J217" s="15">
        <f>INDEX(卡牌图鉴!$J$2:$J$53,MATCH(monster!C217,卡牌图鉴!$C$2:$C$53,0))</f>
        <v>1.2</v>
      </c>
      <c r="K217" s="15">
        <f>INDEX(卡牌图鉴!$S$2:$S$53,MATCH(monster!C217,卡牌图鉴!$C$2:$C$53,0))</f>
        <v>3</v>
      </c>
      <c r="L217" s="15">
        <f>INDEX(卡牌图鉴!$H$2:$H$53,MATCH(monster!C217,卡牌图鉴!$C$2:$C$53,0))</f>
        <v>2</v>
      </c>
      <c r="M217" s="15">
        <f>INDEX(卡牌图鉴!$L$2:$L$53,MATCH(monster!C217,卡牌图鉴!$C$2:$C$53,0))</f>
        <v>3</v>
      </c>
      <c r="N217" s="15">
        <f>INDEX(卡牌图鉴!$AD$2:$AD$53,MATCH(monster!C217,卡牌图鉴!$C$2:$C$53,0))</f>
        <v>8</v>
      </c>
      <c r="O217" s="78">
        <f>INDEX(卡牌图鉴!$K$2:$K$53,MATCH(monster!C217,卡牌图鉴!$C$2:$C$53,0))</f>
        <v>3</v>
      </c>
    </row>
    <row r="218" spans="1:15" x14ac:dyDescent="0.15">
      <c r="A218" s="31">
        <v>1513</v>
      </c>
      <c r="B218" s="31" t="s">
        <v>547</v>
      </c>
      <c r="C218" s="31">
        <v>1506</v>
      </c>
      <c r="D218" s="15">
        <f>INDEX(卡牌图鉴!$S$2:$S$53,MATCH(monster!C218,卡牌图鉴!$C$2:$C$53,0))</f>
        <v>3</v>
      </c>
      <c r="E218" s="31">
        <v>7</v>
      </c>
      <c r="F218" s="15">
        <f>INT(INDEX(卡牌图鉴!$AB$2:$AB$53,MATCH(monster!C218,卡牌图鉴!$C$2:$C$57,0)) * INDEX(数值规划表!$B$61:$B$71,monster!E218+1) * 血量调整)</f>
        <v>275</v>
      </c>
      <c r="G218" s="15">
        <f>ROUND(INDEX(卡牌图鉴!$AB$2:$AB$53,MATCH(monster!C218,卡牌图鉴!$C$2:$C$57,0)) * INDEX(数值规划表!$D$61:$D$71,monster!E218+1)*血量调整,2)</f>
        <v>8.26</v>
      </c>
      <c r="H218" s="15">
        <f>ROUND(INDEX(卡牌图鉴!$AA$2:$AA$53,MATCH(monster!C218,卡牌图鉴!$C$2:$C$53,0)) * INDEX(数值规划表!$C$61:$C$71,monster!E218+1),2)</f>
        <v>102.93</v>
      </c>
      <c r="I218" s="15">
        <f>ROUND(INDEX(卡牌图鉴!$AA$2:$AA$53,MATCH(monster!C218,卡牌图鉴!$C$2:$C$53,0)) * INDEX(数值规划表!$E$61:$E$71,monster!E218+1),2)</f>
        <v>3.09</v>
      </c>
      <c r="J218" s="15">
        <f>INDEX(卡牌图鉴!$J$2:$J$53,MATCH(monster!C218,卡牌图鉴!$C$2:$C$53,0))</f>
        <v>1.2</v>
      </c>
      <c r="K218" s="15">
        <f>INDEX(卡牌图鉴!$S$2:$S$53,MATCH(monster!C218,卡牌图鉴!$C$2:$C$53,0))</f>
        <v>3</v>
      </c>
      <c r="L218" s="15">
        <f>INDEX(卡牌图鉴!$H$2:$H$53,MATCH(monster!C218,卡牌图鉴!$C$2:$C$53,0))</f>
        <v>2</v>
      </c>
      <c r="M218" s="15">
        <f>INDEX(卡牌图鉴!$L$2:$L$53,MATCH(monster!C218,卡牌图鉴!$C$2:$C$53,0))</f>
        <v>3</v>
      </c>
      <c r="N218" s="15">
        <f>INDEX(卡牌图鉴!$AD$2:$AD$53,MATCH(monster!C218,卡牌图鉴!$C$2:$C$53,0))</f>
        <v>8</v>
      </c>
      <c r="O218" s="78">
        <f>INDEX(卡牌图鉴!$K$2:$K$53,MATCH(monster!C218,卡牌图鉴!$C$2:$C$53,0))</f>
        <v>3</v>
      </c>
    </row>
    <row r="219" spans="1:15" x14ac:dyDescent="0.15">
      <c r="A219" s="31">
        <v>1514</v>
      </c>
      <c r="B219" s="31" t="s">
        <v>548</v>
      </c>
      <c r="C219" s="31">
        <v>1506</v>
      </c>
      <c r="D219" s="15">
        <f>INDEX(卡牌图鉴!$S$2:$S$53,MATCH(monster!C219,卡牌图鉴!$C$2:$C$53,0))</f>
        <v>3</v>
      </c>
      <c r="E219" s="31">
        <v>8</v>
      </c>
      <c r="F219" s="15">
        <f>INT(INDEX(卡牌图鉴!$AB$2:$AB$53,MATCH(monster!C219,卡牌图鉴!$C$2:$C$57,0)) * INDEX(数值规划表!$B$61:$B$71,monster!E219+1) * 血量调整)</f>
        <v>308</v>
      </c>
      <c r="G219" s="15">
        <f>ROUND(INDEX(卡牌图鉴!$AB$2:$AB$53,MATCH(monster!C219,卡牌图鉴!$C$2:$C$57,0)) * INDEX(数值规划表!$D$61:$D$71,monster!E219+1)*血量调整,2)</f>
        <v>9.26</v>
      </c>
      <c r="H219" s="15">
        <f>ROUND(INDEX(卡牌图鉴!$AA$2:$AA$53,MATCH(monster!C219,卡牌图鉴!$C$2:$C$53,0)) * INDEX(数值规划表!$C$61:$C$71,monster!E219+1),2)</f>
        <v>115.28</v>
      </c>
      <c r="I219" s="15">
        <f>ROUND(INDEX(卡牌图鉴!$AA$2:$AA$53,MATCH(monster!C219,卡牌图鉴!$C$2:$C$53,0)) * INDEX(数值规划表!$E$61:$E$71,monster!E219+1),2)</f>
        <v>3.46</v>
      </c>
      <c r="J219" s="15">
        <f>INDEX(卡牌图鉴!$J$2:$J$53,MATCH(monster!C219,卡牌图鉴!$C$2:$C$53,0))</f>
        <v>1.2</v>
      </c>
      <c r="K219" s="15">
        <f>INDEX(卡牌图鉴!$S$2:$S$53,MATCH(monster!C219,卡牌图鉴!$C$2:$C$53,0))</f>
        <v>3</v>
      </c>
      <c r="L219" s="15">
        <f>INDEX(卡牌图鉴!$H$2:$H$53,MATCH(monster!C219,卡牌图鉴!$C$2:$C$53,0))</f>
        <v>2</v>
      </c>
      <c r="M219" s="15">
        <f>INDEX(卡牌图鉴!$L$2:$L$53,MATCH(monster!C219,卡牌图鉴!$C$2:$C$53,0))</f>
        <v>3</v>
      </c>
      <c r="N219" s="15">
        <f>INDEX(卡牌图鉴!$AD$2:$AD$53,MATCH(monster!C219,卡牌图鉴!$C$2:$C$53,0))</f>
        <v>8</v>
      </c>
      <c r="O219" s="78">
        <f>INDEX(卡牌图鉴!$K$2:$K$53,MATCH(monster!C219,卡牌图鉴!$C$2:$C$53,0))</f>
        <v>3</v>
      </c>
    </row>
    <row r="220" spans="1:15" x14ac:dyDescent="0.15">
      <c r="A220" s="31">
        <v>1515</v>
      </c>
      <c r="B220" s="31" t="s">
        <v>549</v>
      </c>
      <c r="C220" s="31">
        <v>1506</v>
      </c>
      <c r="D220" s="15">
        <f>INDEX(卡牌图鉴!$S$2:$S$53,MATCH(monster!C220,卡牌图鉴!$C$2:$C$53,0))</f>
        <v>3</v>
      </c>
      <c r="E220" s="31">
        <v>9</v>
      </c>
      <c r="F220" s="15">
        <f>INT(INDEX(卡牌图鉴!$AB$2:$AB$53,MATCH(monster!C220,卡牌图鉴!$C$2:$C$57,0)) * INDEX(数值规划表!$B$61:$B$71,monster!E220+1) * 血量调整)</f>
        <v>345</v>
      </c>
      <c r="G220" s="15">
        <f>ROUND(INDEX(卡牌图鉴!$AB$2:$AB$53,MATCH(monster!C220,卡牌图鉴!$C$2:$C$57,0)) * INDEX(数值规划表!$D$61:$D$71,monster!E220+1)*血量调整,2)</f>
        <v>10.37</v>
      </c>
      <c r="H220" s="15">
        <f>ROUND(INDEX(卡牌图鉴!$AA$2:$AA$53,MATCH(monster!C220,卡牌图鉴!$C$2:$C$53,0)) * INDEX(数值规划表!$C$61:$C$71,monster!E220+1),2)</f>
        <v>129.11000000000001</v>
      </c>
      <c r="I220" s="15">
        <f>ROUND(INDEX(卡牌图鉴!$AA$2:$AA$53,MATCH(monster!C220,卡牌图鉴!$C$2:$C$53,0)) * INDEX(数值规划表!$E$61:$E$71,monster!E220+1),2)</f>
        <v>3.87</v>
      </c>
      <c r="J220" s="15">
        <f>INDEX(卡牌图鉴!$J$2:$J$53,MATCH(monster!C220,卡牌图鉴!$C$2:$C$53,0))</f>
        <v>1.2</v>
      </c>
      <c r="K220" s="15">
        <f>INDEX(卡牌图鉴!$S$2:$S$53,MATCH(monster!C220,卡牌图鉴!$C$2:$C$53,0))</f>
        <v>3</v>
      </c>
      <c r="L220" s="15">
        <f>INDEX(卡牌图鉴!$H$2:$H$53,MATCH(monster!C220,卡牌图鉴!$C$2:$C$53,0))</f>
        <v>2</v>
      </c>
      <c r="M220" s="15">
        <f>INDEX(卡牌图鉴!$L$2:$L$53,MATCH(monster!C220,卡牌图鉴!$C$2:$C$53,0))</f>
        <v>3</v>
      </c>
      <c r="N220" s="15">
        <f>INDEX(卡牌图鉴!$AD$2:$AD$53,MATCH(monster!C220,卡牌图鉴!$C$2:$C$53,0))</f>
        <v>8</v>
      </c>
      <c r="O220" s="78">
        <f>INDEX(卡牌图鉴!$K$2:$K$53,MATCH(monster!C220,卡牌图鉴!$C$2:$C$53,0))</f>
        <v>3</v>
      </c>
    </row>
    <row r="221" spans="1:15" x14ac:dyDescent="0.15">
      <c r="A221" s="31">
        <v>1516</v>
      </c>
      <c r="B221" s="31" t="s">
        <v>550</v>
      </c>
      <c r="C221" s="31">
        <v>1506</v>
      </c>
      <c r="D221" s="15">
        <f>INDEX(卡牌图鉴!$S$2:$S$53,MATCH(monster!C221,卡牌图鉴!$C$2:$C$53,0))</f>
        <v>3</v>
      </c>
      <c r="E221" s="31">
        <v>10</v>
      </c>
      <c r="F221" s="15">
        <f>INT(INDEX(卡牌图鉴!$AB$2:$AB$53,MATCH(monster!C221,卡牌图鉴!$C$2:$C$57,0)) * INDEX(数值规划表!$B$61:$B$71,monster!E221+1) * 血量调整)</f>
        <v>386</v>
      </c>
      <c r="G221" s="15">
        <f>ROUND(INDEX(卡牌图鉴!$AB$2:$AB$53,MATCH(monster!C221,卡牌图鉴!$C$2:$C$57,0)) * INDEX(数值规划表!$D$61:$D$71,monster!E221+1)*血量调整,2)</f>
        <v>11.61</v>
      </c>
      <c r="H221" s="15">
        <f>ROUND(INDEX(卡牌图鉴!$AA$2:$AA$53,MATCH(monster!C221,卡牌图鉴!$C$2:$C$53,0)) * INDEX(数值规划表!$C$61:$C$71,monster!E221+1),2)</f>
        <v>144.61000000000001</v>
      </c>
      <c r="I221" s="15">
        <f>ROUND(INDEX(卡牌图鉴!$AA$2:$AA$53,MATCH(monster!C221,卡牌图鉴!$C$2:$C$53,0)) * INDEX(数值规划表!$E$61:$E$71,monster!E221+1),2)</f>
        <v>4.34</v>
      </c>
      <c r="J221" s="15">
        <f>INDEX(卡牌图鉴!$J$2:$J$53,MATCH(monster!C221,卡牌图鉴!$C$2:$C$53,0))</f>
        <v>1.2</v>
      </c>
      <c r="K221" s="15">
        <f>INDEX(卡牌图鉴!$S$2:$S$53,MATCH(monster!C221,卡牌图鉴!$C$2:$C$53,0))</f>
        <v>3</v>
      </c>
      <c r="L221" s="15">
        <f>INDEX(卡牌图鉴!$H$2:$H$53,MATCH(monster!C221,卡牌图鉴!$C$2:$C$53,0))</f>
        <v>2</v>
      </c>
      <c r="M221" s="15">
        <f>INDEX(卡牌图鉴!$L$2:$L$53,MATCH(monster!C221,卡牌图鉴!$C$2:$C$53,0))</f>
        <v>3</v>
      </c>
      <c r="N221" s="15">
        <f>INDEX(卡牌图鉴!$AD$2:$AD$53,MATCH(monster!C221,卡牌图鉴!$C$2:$C$53,0))</f>
        <v>8</v>
      </c>
      <c r="O221" s="78">
        <f>INDEX(卡牌图鉴!$K$2:$K$53,MATCH(monster!C221,卡牌图鉴!$C$2:$C$53,0))</f>
        <v>3</v>
      </c>
    </row>
    <row r="222" spans="1:15" x14ac:dyDescent="0.15">
      <c r="A222" s="31">
        <v>1395</v>
      </c>
      <c r="B222" s="31" t="s">
        <v>454</v>
      </c>
      <c r="C222" s="31">
        <v>1395</v>
      </c>
      <c r="D222" s="15">
        <f>INDEX(卡牌图鉴!$S$2:$S$53,MATCH(monster!C222,卡牌图鉴!$C$2:$C$53,0))</f>
        <v>1</v>
      </c>
      <c r="E222" s="31">
        <v>0</v>
      </c>
      <c r="F222" s="15">
        <f>INT(INDEX(卡牌图鉴!$AB$2:$AB$53,MATCH(monster!C222,卡牌图鉴!$C$2:$C$57,0)) * INDEX(数值规划表!$B$61:$B$71,monster!E222+1) * 血量调整)</f>
        <v>100</v>
      </c>
      <c r="G222" s="15">
        <f>ROUND(INDEX(卡牌图鉴!$AB$2:$AB$53,MATCH(monster!C222,卡牌图鉴!$C$2:$C$57,0)) * INDEX(数值规划表!$D$61:$D$71,monster!E222+1)*血量调整,2)</f>
        <v>3.01</v>
      </c>
      <c r="H222" s="15">
        <f>ROUND(INDEX(卡牌图鉴!$AA$2:$AA$53,MATCH(monster!C222,卡牌图鉴!$C$2:$C$53,0)) * INDEX(数值规划表!$C$61:$C$71,monster!E222+1),2)</f>
        <v>36.06</v>
      </c>
      <c r="I222" s="15">
        <f>ROUND(INDEX(卡牌图鉴!$AA$2:$AA$53,MATCH(monster!C222,卡牌图鉴!$C$2:$C$53,0)) * INDEX(数值规划表!$E$61:$E$71,monster!E222+1),2)</f>
        <v>1.08</v>
      </c>
      <c r="J222" s="15">
        <f>INDEX(卡牌图鉴!$J$2:$J$53,MATCH(monster!C222,卡牌图鉴!$C$2:$C$53,0))</f>
        <v>1.2</v>
      </c>
      <c r="K222" s="15">
        <f>INDEX(卡牌图鉴!$S$2:$S$53,MATCH(monster!C222,卡牌图鉴!$C$2:$C$53,0))</f>
        <v>1</v>
      </c>
      <c r="L222" s="15">
        <f>INDEX(卡牌图鉴!$H$2:$H$53,MATCH(monster!C222,卡牌图鉴!$C$2:$C$53,0))</f>
        <v>2</v>
      </c>
      <c r="M222" s="15">
        <f>INDEX(卡牌图鉴!$L$2:$L$53,MATCH(monster!C222,卡牌图鉴!$C$2:$C$53,0))</f>
        <v>2</v>
      </c>
      <c r="N222" s="15">
        <f>INDEX(卡牌图鉴!$AD$2:$AD$53,MATCH(monster!C222,卡牌图鉴!$C$2:$C$53,0))</f>
        <v>8</v>
      </c>
      <c r="O222" s="78">
        <f>INDEX(卡牌图鉴!$K$2:$K$53,MATCH(monster!C222,卡牌图鉴!$C$2:$C$53,0))</f>
        <v>2</v>
      </c>
    </row>
    <row r="223" spans="1:15" x14ac:dyDescent="0.15">
      <c r="A223" s="31">
        <v>1396</v>
      </c>
      <c r="B223" s="31" t="s">
        <v>455</v>
      </c>
      <c r="C223" s="31">
        <v>1395</v>
      </c>
      <c r="D223" s="15">
        <f>INDEX(卡牌图鉴!$S$2:$S$53,MATCH(monster!C223,卡牌图鉴!$C$2:$C$53,0))</f>
        <v>1</v>
      </c>
      <c r="E223" s="31">
        <v>1</v>
      </c>
      <c r="F223" s="15">
        <f>INT(INDEX(卡牌图鉴!$AB$2:$AB$53,MATCH(monster!C223,卡牌图鉴!$C$2:$C$57,0)) * INDEX(数值规划表!$B$61:$B$71,monster!E223+1) * 血量调整)</f>
        <v>112</v>
      </c>
      <c r="G223" s="15">
        <f>ROUND(INDEX(卡牌图鉴!$AB$2:$AB$53,MATCH(monster!C223,卡牌图鉴!$C$2:$C$57,0)) * INDEX(数值规划表!$D$61:$D$71,monster!E223+1)*血量调整,2)</f>
        <v>3.37</v>
      </c>
      <c r="H223" s="15">
        <f>ROUND(INDEX(卡牌图鉴!$AA$2:$AA$53,MATCH(monster!C223,卡牌图鉴!$C$2:$C$53,0)) * INDEX(数值规划表!$C$61:$C$71,monster!E223+1),2)</f>
        <v>40.39</v>
      </c>
      <c r="I223" s="15">
        <f>ROUND(INDEX(卡牌图鉴!$AA$2:$AA$53,MATCH(monster!C223,卡牌图鉴!$C$2:$C$53,0)) * INDEX(数值规划表!$E$61:$E$71,monster!E223+1),2)</f>
        <v>1.21</v>
      </c>
      <c r="J223" s="15">
        <f>INDEX(卡牌图鉴!$J$2:$J$53,MATCH(monster!C223,卡牌图鉴!$C$2:$C$53,0))</f>
        <v>1.2</v>
      </c>
      <c r="K223" s="15">
        <f>INDEX(卡牌图鉴!$S$2:$S$53,MATCH(monster!C223,卡牌图鉴!$C$2:$C$53,0))</f>
        <v>1</v>
      </c>
      <c r="L223" s="15">
        <f>INDEX(卡牌图鉴!$H$2:$H$53,MATCH(monster!C223,卡牌图鉴!$C$2:$C$53,0))</f>
        <v>2</v>
      </c>
      <c r="M223" s="15">
        <f>INDEX(卡牌图鉴!$L$2:$L$53,MATCH(monster!C223,卡牌图鉴!$C$2:$C$53,0))</f>
        <v>2</v>
      </c>
      <c r="N223" s="15">
        <f>INDEX(卡牌图鉴!$AD$2:$AD$53,MATCH(monster!C223,卡牌图鉴!$C$2:$C$53,0))</f>
        <v>8</v>
      </c>
      <c r="O223" s="78">
        <f>INDEX(卡牌图鉴!$K$2:$K$53,MATCH(monster!C223,卡牌图鉴!$C$2:$C$53,0))</f>
        <v>2</v>
      </c>
    </row>
    <row r="224" spans="1:15" x14ac:dyDescent="0.15">
      <c r="A224" s="31">
        <v>1397</v>
      </c>
      <c r="B224" s="31" t="s">
        <v>456</v>
      </c>
      <c r="C224" s="31">
        <v>1395</v>
      </c>
      <c r="D224" s="15">
        <f>INDEX(卡牌图鉴!$S$2:$S$53,MATCH(monster!C224,卡牌图鉴!$C$2:$C$53,0))</f>
        <v>1</v>
      </c>
      <c r="E224" s="31">
        <v>2</v>
      </c>
      <c r="F224" s="15">
        <f>INT(INDEX(卡牌图鉴!$AB$2:$AB$53,MATCH(monster!C224,卡牌图鉴!$C$2:$C$57,0)) * INDEX(数值规划表!$B$61:$B$71,monster!E224+1) * 血量调整)</f>
        <v>125</v>
      </c>
      <c r="G224" s="15">
        <f>ROUND(INDEX(卡牌图鉴!$AB$2:$AB$53,MATCH(monster!C224,卡牌图鉴!$C$2:$C$57,0)) * INDEX(数值规划表!$D$61:$D$71,monster!E224+1)*血量调整,2)</f>
        <v>3.77</v>
      </c>
      <c r="H224" s="15">
        <f>ROUND(INDEX(卡牌图鉴!$AA$2:$AA$53,MATCH(monster!C224,卡牌图鉴!$C$2:$C$53,0)) * INDEX(数值规划表!$C$61:$C$71,monster!E224+1),2)</f>
        <v>45.23</v>
      </c>
      <c r="I224" s="15">
        <f>ROUND(INDEX(卡牌图鉴!$AA$2:$AA$53,MATCH(monster!C224,卡牌图鉴!$C$2:$C$53,0)) * INDEX(数值规划表!$E$61:$E$71,monster!E224+1),2)</f>
        <v>1.36</v>
      </c>
      <c r="J224" s="15">
        <f>INDEX(卡牌图鉴!$J$2:$J$53,MATCH(monster!C224,卡牌图鉴!$C$2:$C$53,0))</f>
        <v>1.2</v>
      </c>
      <c r="K224" s="15">
        <f>INDEX(卡牌图鉴!$S$2:$S$53,MATCH(monster!C224,卡牌图鉴!$C$2:$C$53,0))</f>
        <v>1</v>
      </c>
      <c r="L224" s="15">
        <f>INDEX(卡牌图鉴!$H$2:$H$53,MATCH(monster!C224,卡牌图鉴!$C$2:$C$53,0))</f>
        <v>2</v>
      </c>
      <c r="M224" s="15">
        <f>INDEX(卡牌图鉴!$L$2:$L$53,MATCH(monster!C224,卡牌图鉴!$C$2:$C$53,0))</f>
        <v>2</v>
      </c>
      <c r="N224" s="15">
        <f>INDEX(卡牌图鉴!$AD$2:$AD$53,MATCH(monster!C224,卡牌图鉴!$C$2:$C$53,0))</f>
        <v>8</v>
      </c>
      <c r="O224" s="78">
        <f>INDEX(卡牌图鉴!$K$2:$K$53,MATCH(monster!C224,卡牌图鉴!$C$2:$C$53,0))</f>
        <v>2</v>
      </c>
    </row>
    <row r="225" spans="1:15" x14ac:dyDescent="0.15">
      <c r="A225" s="31">
        <v>1398</v>
      </c>
      <c r="B225" s="31" t="s">
        <v>457</v>
      </c>
      <c r="C225" s="31">
        <v>1395</v>
      </c>
      <c r="D225" s="15">
        <f>INDEX(卡牌图鉴!$S$2:$S$53,MATCH(monster!C225,卡牌图鉴!$C$2:$C$53,0))</f>
        <v>1</v>
      </c>
      <c r="E225" s="31">
        <v>3</v>
      </c>
      <c r="F225" s="15">
        <f>INT(INDEX(卡牌图鉴!$AB$2:$AB$53,MATCH(monster!C225,卡牌图鉴!$C$2:$C$57,0)) * INDEX(数值规划表!$B$61:$B$71,monster!E225+1) * 血量调整)</f>
        <v>140</v>
      </c>
      <c r="G225" s="15">
        <f>ROUND(INDEX(卡牌图鉴!$AB$2:$AB$53,MATCH(monster!C225,卡牌图鉴!$C$2:$C$57,0)) * INDEX(数值规划表!$D$61:$D$71,monster!E225+1)*血量调整,2)</f>
        <v>4.22</v>
      </c>
      <c r="H225" s="15">
        <f>ROUND(INDEX(卡牌图鉴!$AA$2:$AA$53,MATCH(monster!C225,卡牌图鉴!$C$2:$C$53,0)) * INDEX(数值规划表!$C$61:$C$71,monster!E225+1),2)</f>
        <v>50.66</v>
      </c>
      <c r="I225" s="15">
        <f>ROUND(INDEX(卡牌图鉴!$AA$2:$AA$53,MATCH(monster!C225,卡牌图鉴!$C$2:$C$53,0)) * INDEX(数值规划表!$E$61:$E$71,monster!E225+1),2)</f>
        <v>1.52</v>
      </c>
      <c r="J225" s="15">
        <f>INDEX(卡牌图鉴!$J$2:$J$53,MATCH(monster!C225,卡牌图鉴!$C$2:$C$53,0))</f>
        <v>1.2</v>
      </c>
      <c r="K225" s="15">
        <f>INDEX(卡牌图鉴!$S$2:$S$53,MATCH(monster!C225,卡牌图鉴!$C$2:$C$53,0))</f>
        <v>1</v>
      </c>
      <c r="L225" s="15">
        <f>INDEX(卡牌图鉴!$H$2:$H$53,MATCH(monster!C225,卡牌图鉴!$C$2:$C$53,0))</f>
        <v>2</v>
      </c>
      <c r="M225" s="15">
        <f>INDEX(卡牌图鉴!$L$2:$L$53,MATCH(monster!C225,卡牌图鉴!$C$2:$C$53,0))</f>
        <v>2</v>
      </c>
      <c r="N225" s="15">
        <f>INDEX(卡牌图鉴!$AD$2:$AD$53,MATCH(monster!C225,卡牌图鉴!$C$2:$C$53,0))</f>
        <v>8</v>
      </c>
      <c r="O225" s="78">
        <f>INDEX(卡牌图鉴!$K$2:$K$53,MATCH(monster!C225,卡牌图鉴!$C$2:$C$53,0))</f>
        <v>2</v>
      </c>
    </row>
    <row r="226" spans="1:15" x14ac:dyDescent="0.15">
      <c r="A226" s="31">
        <v>1399</v>
      </c>
      <c r="B226" s="31" t="s">
        <v>458</v>
      </c>
      <c r="C226" s="31">
        <v>1395</v>
      </c>
      <c r="D226" s="15">
        <f>INDEX(卡牌图鉴!$S$2:$S$53,MATCH(monster!C226,卡牌图鉴!$C$2:$C$53,0))</f>
        <v>1</v>
      </c>
      <c r="E226" s="31">
        <v>4</v>
      </c>
      <c r="F226" s="15">
        <f>INT(INDEX(卡牌图鉴!$AB$2:$AB$53,MATCH(monster!C226,卡牌图鉴!$C$2:$C$57,0)) * INDEX(数值规划表!$B$61:$B$71,monster!E226+1) * 血量调整)</f>
        <v>157</v>
      </c>
      <c r="G226" s="15">
        <f>ROUND(INDEX(卡牌图鉴!$AB$2:$AB$53,MATCH(monster!C226,卡牌图鉴!$C$2:$C$57,0)) * INDEX(数值规划表!$D$61:$D$71,monster!E226+1)*血量调整,2)</f>
        <v>4.7300000000000004</v>
      </c>
      <c r="H226" s="15">
        <f>ROUND(INDEX(卡牌图鉴!$AA$2:$AA$53,MATCH(monster!C226,卡牌图鉴!$C$2:$C$53,0)) * INDEX(数值规划表!$C$61:$C$71,monster!E226+1),2)</f>
        <v>56.74</v>
      </c>
      <c r="I226" s="15">
        <f>ROUND(INDEX(卡牌图鉴!$AA$2:$AA$53,MATCH(monster!C226,卡牌图鉴!$C$2:$C$53,0)) * INDEX(数值规划表!$E$61:$E$71,monster!E226+1),2)</f>
        <v>1.7</v>
      </c>
      <c r="J226" s="15">
        <f>INDEX(卡牌图鉴!$J$2:$J$53,MATCH(monster!C226,卡牌图鉴!$C$2:$C$53,0))</f>
        <v>1.2</v>
      </c>
      <c r="K226" s="15">
        <f>INDEX(卡牌图鉴!$S$2:$S$53,MATCH(monster!C226,卡牌图鉴!$C$2:$C$53,0))</f>
        <v>1</v>
      </c>
      <c r="L226" s="15">
        <f>INDEX(卡牌图鉴!$H$2:$H$53,MATCH(monster!C226,卡牌图鉴!$C$2:$C$53,0))</f>
        <v>2</v>
      </c>
      <c r="M226" s="15">
        <f>INDEX(卡牌图鉴!$L$2:$L$53,MATCH(monster!C226,卡牌图鉴!$C$2:$C$53,0))</f>
        <v>2</v>
      </c>
      <c r="N226" s="15">
        <f>INDEX(卡牌图鉴!$AD$2:$AD$53,MATCH(monster!C226,卡牌图鉴!$C$2:$C$53,0))</f>
        <v>8</v>
      </c>
      <c r="O226" s="78">
        <f>INDEX(卡牌图鉴!$K$2:$K$53,MATCH(monster!C226,卡牌图鉴!$C$2:$C$53,0))</f>
        <v>2</v>
      </c>
    </row>
    <row r="227" spans="1:15" x14ac:dyDescent="0.15">
      <c r="A227" s="31">
        <v>1400</v>
      </c>
      <c r="B227" s="31" t="s">
        <v>459</v>
      </c>
      <c r="C227" s="31">
        <v>1395</v>
      </c>
      <c r="D227" s="15">
        <f>INDEX(卡牌图鉴!$S$2:$S$53,MATCH(monster!C227,卡牌图鉴!$C$2:$C$53,0))</f>
        <v>1</v>
      </c>
      <c r="E227" s="31">
        <v>5</v>
      </c>
      <c r="F227" s="15">
        <f>INT(INDEX(卡牌图鉴!$AB$2:$AB$53,MATCH(monster!C227,卡牌图鉴!$C$2:$C$57,0)) * INDEX(数值规划表!$B$61:$B$71,monster!E227+1) * 血量调整)</f>
        <v>176</v>
      </c>
      <c r="G227" s="15">
        <f>ROUND(INDEX(卡牌图鉴!$AB$2:$AB$53,MATCH(monster!C227,卡牌图鉴!$C$2:$C$57,0)) * INDEX(数值规划表!$D$61:$D$71,monster!E227+1)*血量调整,2)</f>
        <v>5.3</v>
      </c>
      <c r="H227" s="15">
        <f>ROUND(INDEX(卡牌图鉴!$AA$2:$AA$53,MATCH(monster!C227,卡牌图鉴!$C$2:$C$53,0)) * INDEX(数值规划表!$C$61:$C$71,monster!E227+1),2)</f>
        <v>63.55</v>
      </c>
      <c r="I227" s="15">
        <f>ROUND(INDEX(卡牌图鉴!$AA$2:$AA$53,MATCH(monster!C227,卡牌图鉴!$C$2:$C$53,0)) * INDEX(数值规划表!$E$61:$E$71,monster!E227+1),2)</f>
        <v>1.91</v>
      </c>
      <c r="J227" s="15">
        <f>INDEX(卡牌图鉴!$J$2:$J$53,MATCH(monster!C227,卡牌图鉴!$C$2:$C$53,0))</f>
        <v>1.2</v>
      </c>
      <c r="K227" s="15">
        <f>INDEX(卡牌图鉴!$S$2:$S$53,MATCH(monster!C227,卡牌图鉴!$C$2:$C$53,0))</f>
        <v>1</v>
      </c>
      <c r="L227" s="15">
        <f>INDEX(卡牌图鉴!$H$2:$H$53,MATCH(monster!C227,卡牌图鉴!$C$2:$C$53,0))</f>
        <v>2</v>
      </c>
      <c r="M227" s="15">
        <f>INDEX(卡牌图鉴!$L$2:$L$53,MATCH(monster!C227,卡牌图鉴!$C$2:$C$53,0))</f>
        <v>2</v>
      </c>
      <c r="N227" s="15">
        <f>INDEX(卡牌图鉴!$AD$2:$AD$53,MATCH(monster!C227,卡牌图鉴!$C$2:$C$53,0))</f>
        <v>8</v>
      </c>
      <c r="O227" s="78">
        <f>INDEX(卡牌图鉴!$K$2:$K$53,MATCH(monster!C227,卡牌图鉴!$C$2:$C$53,0))</f>
        <v>2</v>
      </c>
    </row>
    <row r="228" spans="1:15" x14ac:dyDescent="0.15">
      <c r="A228" s="31">
        <v>1401</v>
      </c>
      <c r="B228" s="31" t="s">
        <v>460</v>
      </c>
      <c r="C228" s="31">
        <v>1395</v>
      </c>
      <c r="D228" s="15">
        <f>INDEX(卡牌图鉴!$S$2:$S$53,MATCH(monster!C228,卡牌图鉴!$C$2:$C$53,0))</f>
        <v>1</v>
      </c>
      <c r="E228" s="31">
        <v>6</v>
      </c>
      <c r="F228" s="15">
        <f>INT(INDEX(卡牌图鉴!$AB$2:$AB$53,MATCH(monster!C228,卡牌图鉴!$C$2:$C$57,0)) * INDEX(数值规划表!$B$61:$B$71,monster!E228+1) * 血量调整)</f>
        <v>197</v>
      </c>
      <c r="G228" s="15">
        <f>ROUND(INDEX(卡牌图鉴!$AB$2:$AB$53,MATCH(monster!C228,卡牌图鉴!$C$2:$C$57,0)) * INDEX(数值规划表!$D$61:$D$71,monster!E228+1)*血量调整,2)</f>
        <v>5.93</v>
      </c>
      <c r="H228" s="15">
        <f>ROUND(INDEX(卡牌图鉴!$AA$2:$AA$53,MATCH(monster!C228,卡牌图鉴!$C$2:$C$53,0)) * INDEX(数值规划表!$C$61:$C$71,monster!E228+1),2)</f>
        <v>71.180000000000007</v>
      </c>
      <c r="I228" s="15">
        <f>ROUND(INDEX(卡牌图鉴!$AA$2:$AA$53,MATCH(monster!C228,卡牌图鉴!$C$2:$C$53,0)) * INDEX(数值规划表!$E$61:$E$71,monster!E228+1),2)</f>
        <v>2.14</v>
      </c>
      <c r="J228" s="15">
        <f>INDEX(卡牌图鉴!$J$2:$J$53,MATCH(monster!C228,卡牌图鉴!$C$2:$C$53,0))</f>
        <v>1.2</v>
      </c>
      <c r="K228" s="15">
        <f>INDEX(卡牌图鉴!$S$2:$S$53,MATCH(monster!C228,卡牌图鉴!$C$2:$C$53,0))</f>
        <v>1</v>
      </c>
      <c r="L228" s="15">
        <f>INDEX(卡牌图鉴!$H$2:$H$53,MATCH(monster!C228,卡牌图鉴!$C$2:$C$53,0))</f>
        <v>2</v>
      </c>
      <c r="M228" s="15">
        <f>INDEX(卡牌图鉴!$L$2:$L$53,MATCH(monster!C228,卡牌图鉴!$C$2:$C$53,0))</f>
        <v>2</v>
      </c>
      <c r="N228" s="15">
        <f>INDEX(卡牌图鉴!$AD$2:$AD$53,MATCH(monster!C228,卡牌图鉴!$C$2:$C$53,0))</f>
        <v>8</v>
      </c>
      <c r="O228" s="78">
        <f>INDEX(卡牌图鉴!$K$2:$K$53,MATCH(monster!C228,卡牌图鉴!$C$2:$C$53,0))</f>
        <v>2</v>
      </c>
    </row>
    <row r="229" spans="1:15" x14ac:dyDescent="0.15">
      <c r="A229" s="31">
        <v>1402</v>
      </c>
      <c r="B229" s="31" t="s">
        <v>461</v>
      </c>
      <c r="C229" s="31">
        <v>1395</v>
      </c>
      <c r="D229" s="15">
        <f>INDEX(卡牌图鉴!$S$2:$S$53,MATCH(monster!C229,卡牌图鉴!$C$2:$C$53,0))</f>
        <v>1</v>
      </c>
      <c r="E229" s="31">
        <v>7</v>
      </c>
      <c r="F229" s="15">
        <f>INT(INDEX(卡牌图鉴!$AB$2:$AB$53,MATCH(monster!C229,卡牌图鉴!$C$2:$C$57,0)) * INDEX(数值规划表!$B$61:$B$71,monster!E229+1) * 血量调整)</f>
        <v>221</v>
      </c>
      <c r="G229" s="15">
        <f>ROUND(INDEX(卡牌图鉴!$AB$2:$AB$53,MATCH(monster!C229,卡牌图鉴!$C$2:$C$57,0)) * INDEX(数值规划表!$D$61:$D$71,monster!E229+1)*血量调整,2)</f>
        <v>6.64</v>
      </c>
      <c r="H229" s="15">
        <f>ROUND(INDEX(卡牌图鉴!$AA$2:$AA$53,MATCH(monster!C229,卡牌图鉴!$C$2:$C$53,0)) * INDEX(数值规划表!$C$61:$C$71,monster!E229+1),2)</f>
        <v>79.72</v>
      </c>
      <c r="I229" s="15">
        <f>ROUND(INDEX(卡牌图鉴!$AA$2:$AA$53,MATCH(monster!C229,卡牌图鉴!$C$2:$C$53,0)) * INDEX(数值规划表!$E$61:$E$71,monster!E229+1),2)</f>
        <v>2.39</v>
      </c>
      <c r="J229" s="15">
        <f>INDEX(卡牌图鉴!$J$2:$J$53,MATCH(monster!C229,卡牌图鉴!$C$2:$C$53,0))</f>
        <v>1.2</v>
      </c>
      <c r="K229" s="15">
        <f>INDEX(卡牌图鉴!$S$2:$S$53,MATCH(monster!C229,卡牌图鉴!$C$2:$C$53,0))</f>
        <v>1</v>
      </c>
      <c r="L229" s="15">
        <f>INDEX(卡牌图鉴!$H$2:$H$53,MATCH(monster!C229,卡牌图鉴!$C$2:$C$53,0))</f>
        <v>2</v>
      </c>
      <c r="M229" s="15">
        <f>INDEX(卡牌图鉴!$L$2:$L$53,MATCH(monster!C229,卡牌图鉴!$C$2:$C$53,0))</f>
        <v>2</v>
      </c>
      <c r="N229" s="15">
        <f>INDEX(卡牌图鉴!$AD$2:$AD$53,MATCH(monster!C229,卡牌图鉴!$C$2:$C$53,0))</f>
        <v>8</v>
      </c>
      <c r="O229" s="78">
        <f>INDEX(卡牌图鉴!$K$2:$K$53,MATCH(monster!C229,卡牌图鉴!$C$2:$C$53,0))</f>
        <v>2</v>
      </c>
    </row>
    <row r="230" spans="1:15" x14ac:dyDescent="0.15">
      <c r="A230" s="31">
        <v>1403</v>
      </c>
      <c r="B230" s="31" t="s">
        <v>462</v>
      </c>
      <c r="C230" s="31">
        <v>1395</v>
      </c>
      <c r="D230" s="15">
        <f>INDEX(卡牌图鉴!$S$2:$S$53,MATCH(monster!C230,卡牌图鉴!$C$2:$C$53,0))</f>
        <v>1</v>
      </c>
      <c r="E230" s="31">
        <v>8</v>
      </c>
      <c r="F230" s="15">
        <f>INT(INDEX(卡牌图鉴!$AB$2:$AB$53,MATCH(monster!C230,卡牌图鉴!$C$2:$C$57,0)) * INDEX(数值规划表!$B$61:$B$71,monster!E230+1) * 血量调整)</f>
        <v>248</v>
      </c>
      <c r="G230" s="15">
        <f>ROUND(INDEX(卡牌图鉴!$AB$2:$AB$53,MATCH(monster!C230,卡牌图鉴!$C$2:$C$57,0)) * INDEX(数值规划表!$D$61:$D$71,monster!E230+1)*血量调整,2)</f>
        <v>7.44</v>
      </c>
      <c r="H230" s="15">
        <f>ROUND(INDEX(卡牌图鉴!$AA$2:$AA$53,MATCH(monster!C230,卡牌图鉴!$C$2:$C$53,0)) * INDEX(数值规划表!$C$61:$C$71,monster!E230+1),2)</f>
        <v>89.28</v>
      </c>
      <c r="I230" s="15">
        <f>ROUND(INDEX(卡牌图鉴!$AA$2:$AA$53,MATCH(monster!C230,卡牌图鉴!$C$2:$C$53,0)) * INDEX(数值规划表!$E$61:$E$71,monster!E230+1),2)</f>
        <v>2.68</v>
      </c>
      <c r="J230" s="15">
        <f>INDEX(卡牌图鉴!$J$2:$J$53,MATCH(monster!C230,卡牌图鉴!$C$2:$C$53,0))</f>
        <v>1.2</v>
      </c>
      <c r="K230" s="15">
        <f>INDEX(卡牌图鉴!$S$2:$S$53,MATCH(monster!C230,卡牌图鉴!$C$2:$C$53,0))</f>
        <v>1</v>
      </c>
      <c r="L230" s="15">
        <f>INDEX(卡牌图鉴!$H$2:$H$53,MATCH(monster!C230,卡牌图鉴!$C$2:$C$53,0))</f>
        <v>2</v>
      </c>
      <c r="M230" s="15">
        <f>INDEX(卡牌图鉴!$L$2:$L$53,MATCH(monster!C230,卡牌图鉴!$C$2:$C$53,0))</f>
        <v>2</v>
      </c>
      <c r="N230" s="15">
        <f>INDEX(卡牌图鉴!$AD$2:$AD$53,MATCH(monster!C230,卡牌图鉴!$C$2:$C$53,0))</f>
        <v>8</v>
      </c>
      <c r="O230" s="78">
        <f>INDEX(卡牌图鉴!$K$2:$K$53,MATCH(monster!C230,卡牌图鉴!$C$2:$C$53,0))</f>
        <v>2</v>
      </c>
    </row>
    <row r="231" spans="1:15" x14ac:dyDescent="0.15">
      <c r="A231" s="31">
        <v>1404</v>
      </c>
      <c r="B231" s="31" t="s">
        <v>463</v>
      </c>
      <c r="C231" s="31">
        <v>1395</v>
      </c>
      <c r="D231" s="15">
        <f>INDEX(卡牌图鉴!$S$2:$S$53,MATCH(monster!C231,卡牌图鉴!$C$2:$C$53,0))</f>
        <v>1</v>
      </c>
      <c r="E231" s="31">
        <v>9</v>
      </c>
      <c r="F231" s="15">
        <f>INT(INDEX(卡牌图鉴!$AB$2:$AB$53,MATCH(monster!C231,卡牌图鉴!$C$2:$C$57,0)) * INDEX(数值规划表!$B$61:$B$71,monster!E231+1) * 血量调整)</f>
        <v>277</v>
      </c>
      <c r="G231" s="15">
        <f>ROUND(INDEX(卡牌图鉴!$AB$2:$AB$53,MATCH(monster!C231,卡牌图鉴!$C$2:$C$57,0)) * INDEX(数值规划表!$D$61:$D$71,monster!E231+1)*血量调整,2)</f>
        <v>8.33</v>
      </c>
      <c r="H231" s="15">
        <f>ROUND(INDEX(卡牌图鉴!$AA$2:$AA$53,MATCH(monster!C231,卡牌图鉴!$C$2:$C$53,0)) * INDEX(数值规划表!$C$61:$C$71,monster!E231+1),2)</f>
        <v>100</v>
      </c>
      <c r="I231" s="15">
        <f>ROUND(INDEX(卡牌图鉴!$AA$2:$AA$53,MATCH(monster!C231,卡牌图鉴!$C$2:$C$53,0)) * INDEX(数值规划表!$E$61:$E$71,monster!E231+1),2)</f>
        <v>3</v>
      </c>
      <c r="J231" s="15">
        <f>INDEX(卡牌图鉴!$J$2:$J$53,MATCH(monster!C231,卡牌图鉴!$C$2:$C$53,0))</f>
        <v>1.2</v>
      </c>
      <c r="K231" s="15">
        <f>INDEX(卡牌图鉴!$S$2:$S$53,MATCH(monster!C231,卡牌图鉴!$C$2:$C$53,0))</f>
        <v>1</v>
      </c>
      <c r="L231" s="15">
        <f>INDEX(卡牌图鉴!$H$2:$H$53,MATCH(monster!C231,卡牌图鉴!$C$2:$C$53,0))</f>
        <v>2</v>
      </c>
      <c r="M231" s="15">
        <f>INDEX(卡牌图鉴!$L$2:$L$53,MATCH(monster!C231,卡牌图鉴!$C$2:$C$53,0))</f>
        <v>2</v>
      </c>
      <c r="N231" s="15">
        <f>INDEX(卡牌图鉴!$AD$2:$AD$53,MATCH(monster!C231,卡牌图鉴!$C$2:$C$53,0))</f>
        <v>8</v>
      </c>
      <c r="O231" s="78">
        <f>INDEX(卡牌图鉴!$K$2:$K$53,MATCH(monster!C231,卡牌图鉴!$C$2:$C$53,0))</f>
        <v>2</v>
      </c>
    </row>
    <row r="232" spans="1:15" x14ac:dyDescent="0.15">
      <c r="A232" s="31">
        <v>1405</v>
      </c>
      <c r="B232" s="31" t="s">
        <v>464</v>
      </c>
      <c r="C232" s="31">
        <v>1395</v>
      </c>
      <c r="D232" s="15">
        <f>INDEX(卡牌图鉴!$S$2:$S$53,MATCH(monster!C232,卡牌图鉴!$C$2:$C$53,0))</f>
        <v>1</v>
      </c>
      <c r="E232" s="31">
        <v>10</v>
      </c>
      <c r="F232" s="15">
        <f>INT(INDEX(卡牌图鉴!$AB$2:$AB$53,MATCH(monster!C232,卡牌图鉴!$C$2:$C$57,0)) * INDEX(数值规划表!$B$61:$B$71,monster!E232+1) * 血量调整)</f>
        <v>311</v>
      </c>
      <c r="G232" s="15">
        <f>ROUND(INDEX(卡牌图鉴!$AB$2:$AB$53,MATCH(monster!C232,卡牌图鉴!$C$2:$C$57,0)) * INDEX(数值规划表!$D$61:$D$71,monster!E232+1)*血量调整,2)</f>
        <v>9.33</v>
      </c>
      <c r="H232" s="15">
        <f>ROUND(INDEX(卡牌图鉴!$AA$2:$AA$53,MATCH(monster!C232,卡牌图鉴!$C$2:$C$53,0)) * INDEX(数值规划表!$C$61:$C$71,monster!E232+1),2)</f>
        <v>112</v>
      </c>
      <c r="I232" s="15">
        <f>ROUND(INDEX(卡牌图鉴!$AA$2:$AA$53,MATCH(monster!C232,卡牌图鉴!$C$2:$C$53,0)) * INDEX(数值规划表!$E$61:$E$71,monster!E232+1),2)</f>
        <v>3.36</v>
      </c>
      <c r="J232" s="15">
        <f>INDEX(卡牌图鉴!$J$2:$J$53,MATCH(monster!C232,卡牌图鉴!$C$2:$C$53,0))</f>
        <v>1.2</v>
      </c>
      <c r="K232" s="15">
        <f>INDEX(卡牌图鉴!$S$2:$S$53,MATCH(monster!C232,卡牌图鉴!$C$2:$C$53,0))</f>
        <v>1</v>
      </c>
      <c r="L232" s="15">
        <f>INDEX(卡牌图鉴!$H$2:$H$53,MATCH(monster!C232,卡牌图鉴!$C$2:$C$53,0))</f>
        <v>2</v>
      </c>
      <c r="M232" s="15">
        <f>INDEX(卡牌图鉴!$L$2:$L$53,MATCH(monster!C232,卡牌图鉴!$C$2:$C$53,0))</f>
        <v>2</v>
      </c>
      <c r="N232" s="15">
        <f>INDEX(卡牌图鉴!$AD$2:$AD$53,MATCH(monster!C232,卡牌图鉴!$C$2:$C$53,0))</f>
        <v>8</v>
      </c>
      <c r="O232" s="78">
        <f>INDEX(卡牌图鉴!$K$2:$K$53,MATCH(monster!C232,卡牌图鉴!$C$2:$C$53,0))</f>
        <v>2</v>
      </c>
    </row>
    <row r="233" spans="1:15" x14ac:dyDescent="0.15">
      <c r="A233" s="31">
        <v>1001</v>
      </c>
      <c r="B233" s="31" t="s">
        <v>1360</v>
      </c>
      <c r="C233" s="31">
        <v>1001</v>
      </c>
      <c r="D233" s="15">
        <f>INDEX(卡牌图鉴!$S$2:$S$53,MATCH(monster!C233,卡牌图鉴!$C$2:$C$53,0))</f>
        <v>4</v>
      </c>
      <c r="E233" s="31">
        <v>0</v>
      </c>
      <c r="F233" s="15">
        <f>INT(INDEX(卡牌图鉴!$AB$2:$AB$53,MATCH(monster!C233,卡牌图鉴!$C$2:$C$57,0)) * INDEX(数值规划表!$B$61:$B$71,monster!E233+1) * 血量调整)</f>
        <v>639</v>
      </c>
      <c r="G233" s="15">
        <f>ROUND(INDEX(卡牌图鉴!$AB$2:$AB$53,MATCH(monster!C233,卡牌图鉴!$C$2:$C$57,0)) * INDEX(数值规划表!$D$61:$D$71,monster!E233+1)*血量调整,2)</f>
        <v>19.18</v>
      </c>
      <c r="H233" s="15">
        <f>ROUND(INDEX(卡牌图鉴!$AA$2:$AA$53,MATCH(monster!C233,卡牌图鉴!$C$2:$C$53,0)) * INDEX(数值规划表!$C$61:$C$71,monster!E233+1),2)</f>
        <v>77.28</v>
      </c>
      <c r="I233" s="15">
        <f>ROUND(INDEX(卡牌图鉴!$AA$2:$AA$53,MATCH(monster!C233,卡牌图鉴!$C$2:$C$53,0)) * INDEX(数值规划表!$E$61:$E$71,monster!E233+1),2)</f>
        <v>2.3199999999999998</v>
      </c>
      <c r="J233" s="15">
        <f>INDEX(卡牌图鉴!$J$2:$J$53,MATCH(monster!C233,卡牌图鉴!$C$2:$C$53,0))</f>
        <v>1.2</v>
      </c>
      <c r="K233" s="15">
        <f>INDEX(卡牌图鉴!$S$2:$S$53,MATCH(monster!C233,卡牌图鉴!$C$2:$C$53,0))</f>
        <v>4</v>
      </c>
      <c r="L233" s="15">
        <f>INDEX(卡牌图鉴!$H$2:$H$53,MATCH(monster!C233,卡牌图鉴!$C$2:$C$53,0))</f>
        <v>2</v>
      </c>
      <c r="M233" s="15">
        <f>INDEX(卡牌图鉴!$L$2:$L$53,MATCH(monster!C233,卡牌图鉴!$C$2:$C$53,0))</f>
        <v>5</v>
      </c>
      <c r="N233" s="15">
        <f>INDEX(卡牌图鉴!$AD$2:$AD$53,MATCH(monster!C233,卡牌图鉴!$C$2:$C$53,0))</f>
        <v>8</v>
      </c>
      <c r="O233" s="78">
        <f>INDEX(卡牌图鉴!$K$2:$K$53,MATCH(monster!C233,卡牌图鉴!$C$2:$C$53,0))</f>
        <v>5</v>
      </c>
    </row>
    <row r="234" spans="1:15" x14ac:dyDescent="0.15">
      <c r="A234" s="31">
        <v>1002</v>
      </c>
      <c r="B234" s="31" t="s">
        <v>1443</v>
      </c>
      <c r="C234" s="31">
        <v>1001</v>
      </c>
      <c r="D234" s="15">
        <f>INDEX(卡牌图鉴!$S$2:$S$53,MATCH(monster!C234,卡牌图鉴!$C$2:$C$53,0))</f>
        <v>4</v>
      </c>
      <c r="E234" s="31">
        <v>1</v>
      </c>
      <c r="F234" s="15">
        <f>INT(INDEX(卡牌图鉴!$AB$2:$AB$53,MATCH(monster!C234,卡牌图鉴!$C$2:$C$57,0)) * INDEX(数值规划表!$B$61:$B$71,monster!E234+1) * 血量调整)</f>
        <v>716</v>
      </c>
      <c r="G234" s="15">
        <f>ROUND(INDEX(卡牌图鉴!$AB$2:$AB$53,MATCH(monster!C234,卡牌图鉴!$C$2:$C$57,0)) * INDEX(数值规划表!$D$61:$D$71,monster!E234+1)*血量调整,2)</f>
        <v>21.48</v>
      </c>
      <c r="H234" s="15">
        <f>ROUND(INDEX(卡牌图鉴!$AA$2:$AA$53,MATCH(monster!C234,卡牌图鉴!$C$2:$C$53,0)) * INDEX(数值规划表!$C$61:$C$71,monster!E234+1),2)</f>
        <v>86.55</v>
      </c>
      <c r="I234" s="15">
        <f>ROUND(INDEX(卡牌图鉴!$AA$2:$AA$53,MATCH(monster!C234,卡牌图鉴!$C$2:$C$53,0)) * INDEX(数值规划表!$E$61:$E$71,monster!E234+1),2)</f>
        <v>2.6</v>
      </c>
      <c r="J234" s="15">
        <f>INDEX(卡牌图鉴!$J$2:$J$53,MATCH(monster!C234,卡牌图鉴!$C$2:$C$53,0))</f>
        <v>1.2</v>
      </c>
      <c r="K234" s="15">
        <f>INDEX(卡牌图鉴!$S$2:$S$53,MATCH(monster!C234,卡牌图鉴!$C$2:$C$53,0))</f>
        <v>4</v>
      </c>
      <c r="L234" s="15">
        <f>INDEX(卡牌图鉴!$H$2:$H$53,MATCH(monster!C234,卡牌图鉴!$C$2:$C$53,0))</f>
        <v>2</v>
      </c>
      <c r="M234" s="15">
        <f>INDEX(卡牌图鉴!$L$2:$L$53,MATCH(monster!C234,卡牌图鉴!$C$2:$C$53,0))</f>
        <v>5</v>
      </c>
      <c r="N234" s="15">
        <f>INDEX(卡牌图鉴!$AD$2:$AD$53,MATCH(monster!C234,卡牌图鉴!$C$2:$C$53,0))</f>
        <v>8</v>
      </c>
      <c r="O234" s="78">
        <f>INDEX(卡牌图鉴!$K$2:$K$53,MATCH(monster!C234,卡牌图鉴!$C$2:$C$53,0))</f>
        <v>5</v>
      </c>
    </row>
    <row r="235" spans="1:15" x14ac:dyDescent="0.15">
      <c r="A235" s="31">
        <v>1003</v>
      </c>
      <c r="B235" s="31" t="s">
        <v>153</v>
      </c>
      <c r="C235" s="31">
        <v>1001</v>
      </c>
      <c r="D235" s="15">
        <f>INDEX(卡牌图鉴!$S$2:$S$53,MATCH(monster!C235,卡牌图鉴!$C$2:$C$53,0))</f>
        <v>4</v>
      </c>
      <c r="E235" s="31">
        <v>2</v>
      </c>
      <c r="F235" s="15">
        <f>INT(INDEX(卡牌图鉴!$AB$2:$AB$53,MATCH(monster!C235,卡牌图鉴!$C$2:$C$57,0)) * INDEX(数值规划表!$B$61:$B$71,monster!E235+1) * 血量调整)</f>
        <v>802</v>
      </c>
      <c r="G235" s="15">
        <f>ROUND(INDEX(卡牌图鉴!$AB$2:$AB$53,MATCH(monster!C235,卡牌图鉴!$C$2:$C$57,0)) * INDEX(数值规划表!$D$61:$D$71,monster!E235+1)*血量调整,2)</f>
        <v>24.06</v>
      </c>
      <c r="H235" s="15">
        <f>ROUND(INDEX(卡牌图鉴!$AA$2:$AA$53,MATCH(monster!C235,卡牌图鉴!$C$2:$C$53,0)) * INDEX(数值规划表!$C$61:$C$71,monster!E235+1),2)</f>
        <v>96.94</v>
      </c>
      <c r="I235" s="15">
        <f>ROUND(INDEX(卡牌图鉴!$AA$2:$AA$53,MATCH(monster!C235,卡牌图鉴!$C$2:$C$53,0)) * INDEX(数值规划表!$E$61:$E$71,monster!E235+1),2)</f>
        <v>2.91</v>
      </c>
      <c r="J235" s="15">
        <f>INDEX(卡牌图鉴!$J$2:$J$53,MATCH(monster!C235,卡牌图鉴!$C$2:$C$53,0))</f>
        <v>1.2</v>
      </c>
      <c r="K235" s="15">
        <f>INDEX(卡牌图鉴!$S$2:$S$53,MATCH(monster!C235,卡牌图鉴!$C$2:$C$53,0))</f>
        <v>4</v>
      </c>
      <c r="L235" s="15">
        <f>INDEX(卡牌图鉴!$H$2:$H$53,MATCH(monster!C235,卡牌图鉴!$C$2:$C$53,0))</f>
        <v>2</v>
      </c>
      <c r="M235" s="15">
        <f>INDEX(卡牌图鉴!$L$2:$L$53,MATCH(monster!C235,卡牌图鉴!$C$2:$C$53,0))</f>
        <v>5</v>
      </c>
      <c r="N235" s="15">
        <f>INDEX(卡牌图鉴!$AD$2:$AD$53,MATCH(monster!C235,卡牌图鉴!$C$2:$C$53,0))</f>
        <v>8</v>
      </c>
      <c r="O235" s="78">
        <f>INDEX(卡牌图鉴!$K$2:$K$53,MATCH(monster!C235,卡牌图鉴!$C$2:$C$53,0))</f>
        <v>5</v>
      </c>
    </row>
    <row r="236" spans="1:15" x14ac:dyDescent="0.15">
      <c r="A236" s="31">
        <v>1004</v>
      </c>
      <c r="B236" s="31" t="s">
        <v>154</v>
      </c>
      <c r="C236" s="31">
        <v>1001</v>
      </c>
      <c r="D236" s="15">
        <f>INDEX(卡牌图鉴!$S$2:$S$53,MATCH(monster!C236,卡牌图鉴!$C$2:$C$53,0))</f>
        <v>4</v>
      </c>
      <c r="E236" s="31">
        <v>3</v>
      </c>
      <c r="F236" s="15">
        <f>INT(INDEX(卡牌图鉴!$AB$2:$AB$53,MATCH(monster!C236,卡牌图鉴!$C$2:$C$57,0)) * INDEX(数值规划表!$B$61:$B$71,monster!E236+1) * 血量调整)</f>
        <v>898</v>
      </c>
      <c r="G236" s="15">
        <f>ROUND(INDEX(卡牌图鉴!$AB$2:$AB$53,MATCH(monster!C236,卡牌图鉴!$C$2:$C$57,0)) * INDEX(数值规划表!$D$61:$D$71,monster!E236+1)*血量调整,2)</f>
        <v>26.95</v>
      </c>
      <c r="H236" s="15">
        <f>ROUND(INDEX(卡牌图鉴!$AA$2:$AA$53,MATCH(monster!C236,卡牌图鉴!$C$2:$C$53,0)) * INDEX(数值规划表!$C$61:$C$71,monster!E236+1),2)</f>
        <v>108.57</v>
      </c>
      <c r="I236" s="15">
        <f>ROUND(INDEX(卡牌图鉴!$AA$2:$AA$53,MATCH(monster!C236,卡牌图鉴!$C$2:$C$53,0)) * INDEX(数值规划表!$E$61:$E$71,monster!E236+1),2)</f>
        <v>3.26</v>
      </c>
      <c r="J236" s="15">
        <f>INDEX(卡牌图鉴!$J$2:$J$53,MATCH(monster!C236,卡牌图鉴!$C$2:$C$53,0))</f>
        <v>1.2</v>
      </c>
      <c r="K236" s="15">
        <f>INDEX(卡牌图鉴!$S$2:$S$53,MATCH(monster!C236,卡牌图鉴!$C$2:$C$53,0))</f>
        <v>4</v>
      </c>
      <c r="L236" s="15">
        <f>INDEX(卡牌图鉴!$H$2:$H$53,MATCH(monster!C236,卡牌图鉴!$C$2:$C$53,0))</f>
        <v>2</v>
      </c>
      <c r="M236" s="15">
        <f>INDEX(卡牌图鉴!$L$2:$L$53,MATCH(monster!C236,卡牌图鉴!$C$2:$C$53,0))</f>
        <v>5</v>
      </c>
      <c r="N236" s="15">
        <f>INDEX(卡牌图鉴!$AD$2:$AD$53,MATCH(monster!C236,卡牌图鉴!$C$2:$C$53,0))</f>
        <v>8</v>
      </c>
      <c r="O236" s="78">
        <f>INDEX(卡牌图鉴!$K$2:$K$53,MATCH(monster!C236,卡牌图鉴!$C$2:$C$53,0))</f>
        <v>5</v>
      </c>
    </row>
    <row r="237" spans="1:15" x14ac:dyDescent="0.15">
      <c r="A237" s="31">
        <v>1005</v>
      </c>
      <c r="B237" s="31" t="s">
        <v>155</v>
      </c>
      <c r="C237" s="31">
        <v>1001</v>
      </c>
      <c r="D237" s="15">
        <f>INDEX(卡牌图鉴!$S$2:$S$53,MATCH(monster!C237,卡牌图鉴!$C$2:$C$53,0))</f>
        <v>4</v>
      </c>
      <c r="E237" s="31">
        <v>4</v>
      </c>
      <c r="F237" s="15">
        <f>INT(INDEX(卡牌图鉴!$AB$2:$AB$53,MATCH(monster!C237,卡牌图鉴!$C$2:$C$57,0)) * INDEX(数值规划表!$B$61:$B$71,monster!E237+1) * 血量调整)</f>
        <v>1006</v>
      </c>
      <c r="G237" s="15">
        <f>ROUND(INDEX(卡牌图鉴!$AB$2:$AB$53,MATCH(monster!C237,卡牌图鉴!$C$2:$C$57,0)) * INDEX(数值规划表!$D$61:$D$71,monster!E237+1)*血量调整,2)</f>
        <v>30.18</v>
      </c>
      <c r="H237" s="15">
        <f>ROUND(INDEX(卡牌图鉴!$AA$2:$AA$53,MATCH(monster!C237,卡牌图鉴!$C$2:$C$53,0)) * INDEX(数值规划表!$C$61:$C$71,monster!E237+1),2)</f>
        <v>121.6</v>
      </c>
      <c r="I237" s="15">
        <f>ROUND(INDEX(卡牌图鉴!$AA$2:$AA$53,MATCH(monster!C237,卡牌图鉴!$C$2:$C$53,0)) * INDEX(数值规划表!$E$61:$E$71,monster!E237+1),2)</f>
        <v>3.65</v>
      </c>
      <c r="J237" s="15">
        <f>INDEX(卡牌图鉴!$J$2:$J$53,MATCH(monster!C237,卡牌图鉴!$C$2:$C$53,0))</f>
        <v>1.2</v>
      </c>
      <c r="K237" s="15">
        <f>INDEX(卡牌图鉴!$S$2:$S$53,MATCH(monster!C237,卡牌图鉴!$C$2:$C$53,0))</f>
        <v>4</v>
      </c>
      <c r="L237" s="15">
        <f>INDEX(卡牌图鉴!$H$2:$H$53,MATCH(monster!C237,卡牌图鉴!$C$2:$C$53,0))</f>
        <v>2</v>
      </c>
      <c r="M237" s="15">
        <f>INDEX(卡牌图鉴!$L$2:$L$53,MATCH(monster!C237,卡牌图鉴!$C$2:$C$53,0))</f>
        <v>5</v>
      </c>
      <c r="N237" s="15">
        <f>INDEX(卡牌图鉴!$AD$2:$AD$53,MATCH(monster!C237,卡牌图鉴!$C$2:$C$53,0))</f>
        <v>8</v>
      </c>
      <c r="O237" s="78">
        <f>INDEX(卡牌图鉴!$K$2:$K$53,MATCH(monster!C237,卡牌图鉴!$C$2:$C$53,0))</f>
        <v>5</v>
      </c>
    </row>
    <row r="238" spans="1:15" x14ac:dyDescent="0.15">
      <c r="A238" s="31">
        <v>1006</v>
      </c>
      <c r="B238" s="31" t="s">
        <v>156</v>
      </c>
      <c r="C238" s="31">
        <v>1001</v>
      </c>
      <c r="D238" s="15">
        <f>INDEX(卡牌图鉴!$S$2:$S$53,MATCH(monster!C238,卡牌图鉴!$C$2:$C$53,0))</f>
        <v>4</v>
      </c>
      <c r="E238" s="31">
        <v>5</v>
      </c>
      <c r="F238" s="15">
        <f>INT(INDEX(卡牌图鉴!$AB$2:$AB$53,MATCH(monster!C238,卡牌图鉴!$C$2:$C$57,0)) * INDEX(数值规划表!$B$61:$B$71,monster!E238+1) * 血量调整)</f>
        <v>1126</v>
      </c>
      <c r="G238" s="15">
        <f>ROUND(INDEX(卡牌图鉴!$AB$2:$AB$53,MATCH(monster!C238,卡牌图鉴!$C$2:$C$57,0)) * INDEX(数值规划表!$D$61:$D$71,monster!E238+1)*血量调整,2)</f>
        <v>33.799999999999997</v>
      </c>
      <c r="H238" s="15">
        <f>ROUND(INDEX(卡牌图鉴!$AA$2:$AA$53,MATCH(monster!C238,卡牌图鉴!$C$2:$C$53,0)) * INDEX(数值规划表!$C$61:$C$71,monster!E238+1),2)</f>
        <v>136.19</v>
      </c>
      <c r="I238" s="15">
        <f>ROUND(INDEX(卡牌图鉴!$AA$2:$AA$53,MATCH(monster!C238,卡牌图鉴!$C$2:$C$53,0)) * INDEX(数值规划表!$E$61:$E$71,monster!E238+1),2)</f>
        <v>4.09</v>
      </c>
      <c r="J238" s="15">
        <f>INDEX(卡牌图鉴!$J$2:$J$53,MATCH(monster!C238,卡牌图鉴!$C$2:$C$53,0))</f>
        <v>1.2</v>
      </c>
      <c r="K238" s="15">
        <f>INDEX(卡牌图鉴!$S$2:$S$53,MATCH(monster!C238,卡牌图鉴!$C$2:$C$53,0))</f>
        <v>4</v>
      </c>
      <c r="L238" s="15">
        <f>INDEX(卡牌图鉴!$H$2:$H$53,MATCH(monster!C238,卡牌图鉴!$C$2:$C$53,0))</f>
        <v>2</v>
      </c>
      <c r="M238" s="15">
        <f>INDEX(卡牌图鉴!$L$2:$L$53,MATCH(monster!C238,卡牌图鉴!$C$2:$C$53,0))</f>
        <v>5</v>
      </c>
      <c r="N238" s="15">
        <f>INDEX(卡牌图鉴!$AD$2:$AD$53,MATCH(monster!C238,卡牌图鉴!$C$2:$C$53,0))</f>
        <v>8</v>
      </c>
      <c r="O238" s="78">
        <f>INDEX(卡牌图鉴!$K$2:$K$53,MATCH(monster!C238,卡牌图鉴!$C$2:$C$53,0))</f>
        <v>5</v>
      </c>
    </row>
    <row r="239" spans="1:15" x14ac:dyDescent="0.15">
      <c r="A239" s="31">
        <v>1007</v>
      </c>
      <c r="B239" s="31" t="s">
        <v>157</v>
      </c>
      <c r="C239" s="31">
        <v>1001</v>
      </c>
      <c r="D239" s="15">
        <f>INDEX(卡牌图鉴!$S$2:$S$53,MATCH(monster!C239,卡牌图鉴!$C$2:$C$53,0))</f>
        <v>4</v>
      </c>
      <c r="E239" s="31">
        <v>6</v>
      </c>
      <c r="F239" s="15">
        <f>INT(INDEX(卡牌图鉴!$AB$2:$AB$53,MATCH(monster!C239,卡牌图鉴!$C$2:$C$57,0)) * INDEX(数值规划表!$B$61:$B$71,monster!E239+1) * 血量调整)</f>
        <v>1261</v>
      </c>
      <c r="G239" s="15">
        <f>ROUND(INDEX(卡牌图鉴!$AB$2:$AB$53,MATCH(monster!C239,卡牌图鉴!$C$2:$C$57,0)) * INDEX(数值规划表!$D$61:$D$71,monster!E239+1)*血量调整,2)</f>
        <v>37.86</v>
      </c>
      <c r="H239" s="15">
        <f>ROUND(INDEX(卡牌图鉴!$AA$2:$AA$53,MATCH(monster!C239,卡牌图鉴!$C$2:$C$53,0)) * INDEX(数值规划表!$C$61:$C$71,monster!E239+1),2)</f>
        <v>152.54</v>
      </c>
      <c r="I239" s="15">
        <f>ROUND(INDEX(卡牌图鉴!$AA$2:$AA$53,MATCH(monster!C239,卡牌图鉴!$C$2:$C$53,0)) * INDEX(数值规划表!$E$61:$E$71,monster!E239+1),2)</f>
        <v>4.58</v>
      </c>
      <c r="J239" s="15">
        <f>INDEX(卡牌图鉴!$J$2:$J$53,MATCH(monster!C239,卡牌图鉴!$C$2:$C$53,0))</f>
        <v>1.2</v>
      </c>
      <c r="K239" s="15">
        <f>INDEX(卡牌图鉴!$S$2:$S$53,MATCH(monster!C239,卡牌图鉴!$C$2:$C$53,0))</f>
        <v>4</v>
      </c>
      <c r="L239" s="15">
        <f>INDEX(卡牌图鉴!$H$2:$H$53,MATCH(monster!C239,卡牌图鉴!$C$2:$C$53,0))</f>
        <v>2</v>
      </c>
      <c r="M239" s="15">
        <f>INDEX(卡牌图鉴!$L$2:$L$53,MATCH(monster!C239,卡牌图鉴!$C$2:$C$53,0))</f>
        <v>5</v>
      </c>
      <c r="N239" s="15">
        <f>INDEX(卡牌图鉴!$AD$2:$AD$53,MATCH(monster!C239,卡牌图鉴!$C$2:$C$53,0))</f>
        <v>8</v>
      </c>
      <c r="O239" s="78">
        <f>INDEX(卡牌图鉴!$K$2:$K$53,MATCH(monster!C239,卡牌图鉴!$C$2:$C$53,0))</f>
        <v>5</v>
      </c>
    </row>
    <row r="240" spans="1:15" x14ac:dyDescent="0.15">
      <c r="A240" s="31">
        <v>1008</v>
      </c>
      <c r="B240" s="31" t="s">
        <v>158</v>
      </c>
      <c r="C240" s="31">
        <v>1001</v>
      </c>
      <c r="D240" s="15">
        <f>INDEX(卡牌图鉴!$S$2:$S$53,MATCH(monster!C240,卡牌图鉴!$C$2:$C$53,0))</f>
        <v>4</v>
      </c>
      <c r="E240" s="31">
        <v>7</v>
      </c>
      <c r="F240" s="15">
        <f>INT(INDEX(卡牌图鉴!$AB$2:$AB$53,MATCH(monster!C240,卡牌图鉴!$C$2:$C$57,0)) * INDEX(数值规划表!$B$61:$B$71,monster!E240+1) * 血量调整)</f>
        <v>1413</v>
      </c>
      <c r="G240" s="15">
        <f>ROUND(INDEX(卡牌图鉴!$AB$2:$AB$53,MATCH(monster!C240,卡牌图鉴!$C$2:$C$57,0)) * INDEX(数值规划表!$D$61:$D$71,monster!E240+1)*血量调整,2)</f>
        <v>42.4</v>
      </c>
      <c r="H240" s="15">
        <f>ROUND(INDEX(卡牌图鉴!$AA$2:$AA$53,MATCH(monster!C240,卡牌图鉴!$C$2:$C$53,0)) * INDEX(数值规划表!$C$61:$C$71,monster!E240+1),2)</f>
        <v>170.84</v>
      </c>
      <c r="I240" s="15">
        <f>ROUND(INDEX(卡牌图鉴!$AA$2:$AA$53,MATCH(monster!C240,卡牌图鉴!$C$2:$C$53,0)) * INDEX(数值规划表!$E$61:$E$71,monster!E240+1),2)</f>
        <v>5.13</v>
      </c>
      <c r="J240" s="15">
        <f>INDEX(卡牌图鉴!$J$2:$J$53,MATCH(monster!C240,卡牌图鉴!$C$2:$C$53,0))</f>
        <v>1.2</v>
      </c>
      <c r="K240" s="15">
        <f>INDEX(卡牌图鉴!$S$2:$S$53,MATCH(monster!C240,卡牌图鉴!$C$2:$C$53,0))</f>
        <v>4</v>
      </c>
      <c r="L240" s="15">
        <f>INDEX(卡牌图鉴!$H$2:$H$53,MATCH(monster!C240,卡牌图鉴!$C$2:$C$53,0))</f>
        <v>2</v>
      </c>
      <c r="M240" s="15">
        <f>INDEX(卡牌图鉴!$L$2:$L$53,MATCH(monster!C240,卡牌图鉴!$C$2:$C$53,0))</f>
        <v>5</v>
      </c>
      <c r="N240" s="15">
        <f>INDEX(卡牌图鉴!$AD$2:$AD$53,MATCH(monster!C240,卡牌图鉴!$C$2:$C$53,0))</f>
        <v>8</v>
      </c>
      <c r="O240" s="78">
        <f>INDEX(卡牌图鉴!$K$2:$K$53,MATCH(monster!C240,卡牌图鉴!$C$2:$C$53,0))</f>
        <v>5</v>
      </c>
    </row>
    <row r="241" spans="1:15" x14ac:dyDescent="0.15">
      <c r="A241" s="31">
        <v>1009</v>
      </c>
      <c r="B241" s="31" t="s">
        <v>159</v>
      </c>
      <c r="C241" s="31">
        <v>1001</v>
      </c>
      <c r="D241" s="15">
        <f>INDEX(卡牌图鉴!$S$2:$S$53,MATCH(monster!C241,卡牌图鉴!$C$2:$C$53,0))</f>
        <v>4</v>
      </c>
      <c r="E241" s="31">
        <v>8</v>
      </c>
      <c r="F241" s="15">
        <f>INT(INDEX(卡牌图鉴!$AB$2:$AB$53,MATCH(monster!C241,卡牌图鉴!$C$2:$C$57,0)) * INDEX(数值规划表!$B$61:$B$71,monster!E241+1) * 血量调整)</f>
        <v>1583</v>
      </c>
      <c r="G241" s="15">
        <f>ROUND(INDEX(卡牌图鉴!$AB$2:$AB$53,MATCH(monster!C241,卡牌图鉴!$C$2:$C$57,0)) * INDEX(数值规划表!$D$61:$D$71,monster!E241+1)*血量调整,2)</f>
        <v>47.49</v>
      </c>
      <c r="H241" s="15">
        <f>ROUND(INDEX(卡牌图鉴!$AA$2:$AA$53,MATCH(monster!C241,卡牌图鉴!$C$2:$C$53,0)) * INDEX(数值规划表!$C$61:$C$71,monster!E241+1),2)</f>
        <v>191.34</v>
      </c>
      <c r="I241" s="15">
        <f>ROUND(INDEX(卡牌图鉴!$AA$2:$AA$53,MATCH(monster!C241,卡牌图鉴!$C$2:$C$53,0)) * INDEX(数值规划表!$E$61:$E$71,monster!E241+1),2)</f>
        <v>5.74</v>
      </c>
      <c r="J241" s="15">
        <f>INDEX(卡牌图鉴!$J$2:$J$53,MATCH(monster!C241,卡牌图鉴!$C$2:$C$53,0))</f>
        <v>1.2</v>
      </c>
      <c r="K241" s="15">
        <f>INDEX(卡牌图鉴!$S$2:$S$53,MATCH(monster!C241,卡牌图鉴!$C$2:$C$53,0))</f>
        <v>4</v>
      </c>
      <c r="L241" s="15">
        <f>INDEX(卡牌图鉴!$H$2:$H$53,MATCH(monster!C241,卡牌图鉴!$C$2:$C$53,0))</f>
        <v>2</v>
      </c>
      <c r="M241" s="15">
        <f>INDEX(卡牌图鉴!$L$2:$L$53,MATCH(monster!C241,卡牌图鉴!$C$2:$C$53,0))</f>
        <v>5</v>
      </c>
      <c r="N241" s="15">
        <f>INDEX(卡牌图鉴!$AD$2:$AD$53,MATCH(monster!C241,卡牌图鉴!$C$2:$C$53,0))</f>
        <v>8</v>
      </c>
      <c r="O241" s="78">
        <f>INDEX(卡牌图鉴!$K$2:$K$53,MATCH(monster!C241,卡牌图鉴!$C$2:$C$53,0))</f>
        <v>5</v>
      </c>
    </row>
    <row r="242" spans="1:15" x14ac:dyDescent="0.15">
      <c r="A242" s="31">
        <v>1010</v>
      </c>
      <c r="B242" s="31" t="s">
        <v>160</v>
      </c>
      <c r="C242" s="31">
        <v>1001</v>
      </c>
      <c r="D242" s="15">
        <f>INDEX(卡牌图鉴!$S$2:$S$53,MATCH(monster!C242,卡牌图鉴!$C$2:$C$53,0))</f>
        <v>4</v>
      </c>
      <c r="E242" s="31">
        <v>9</v>
      </c>
      <c r="F242" s="15">
        <f>INT(INDEX(卡牌图鉴!$AB$2:$AB$53,MATCH(monster!C242,卡牌图鉴!$C$2:$C$57,0)) * INDEX(数值规划表!$B$61:$B$71,monster!E242+1) * 血量调整)</f>
        <v>1772</v>
      </c>
      <c r="G242" s="15">
        <f>ROUND(INDEX(卡牌图鉴!$AB$2:$AB$53,MATCH(monster!C242,卡牌图鉴!$C$2:$C$57,0)) * INDEX(数值规划表!$D$61:$D$71,monster!E242+1)*血量调整,2)</f>
        <v>53.19</v>
      </c>
      <c r="H242" s="15">
        <f>ROUND(INDEX(卡牌图鉴!$AA$2:$AA$53,MATCH(monster!C242,卡牌图鉴!$C$2:$C$53,0)) * INDEX(数值规划表!$C$61:$C$71,monster!E242+1),2)</f>
        <v>214.3</v>
      </c>
      <c r="I242" s="15">
        <f>ROUND(INDEX(卡牌图鉴!$AA$2:$AA$53,MATCH(monster!C242,卡牌图鉴!$C$2:$C$53,0)) * INDEX(数值规划表!$E$61:$E$71,monster!E242+1),2)</f>
        <v>6.43</v>
      </c>
      <c r="J242" s="15">
        <f>INDEX(卡牌图鉴!$J$2:$J$53,MATCH(monster!C242,卡牌图鉴!$C$2:$C$53,0))</f>
        <v>1.2</v>
      </c>
      <c r="K242" s="15">
        <f>INDEX(卡牌图鉴!$S$2:$S$53,MATCH(monster!C242,卡牌图鉴!$C$2:$C$53,0))</f>
        <v>4</v>
      </c>
      <c r="L242" s="15">
        <f>INDEX(卡牌图鉴!$H$2:$H$53,MATCH(monster!C242,卡牌图鉴!$C$2:$C$53,0))</f>
        <v>2</v>
      </c>
      <c r="M242" s="15">
        <f>INDEX(卡牌图鉴!$L$2:$L$53,MATCH(monster!C242,卡牌图鉴!$C$2:$C$53,0))</f>
        <v>5</v>
      </c>
      <c r="N242" s="15">
        <f>INDEX(卡牌图鉴!$AD$2:$AD$53,MATCH(monster!C242,卡牌图鉴!$C$2:$C$53,0))</f>
        <v>8</v>
      </c>
      <c r="O242" s="78">
        <f>INDEX(卡牌图鉴!$K$2:$K$53,MATCH(monster!C242,卡牌图鉴!$C$2:$C$53,0))</f>
        <v>5</v>
      </c>
    </row>
    <row r="243" spans="1:15" x14ac:dyDescent="0.15">
      <c r="A243" s="31">
        <v>1011</v>
      </c>
      <c r="B243" s="31" t="s">
        <v>1444</v>
      </c>
      <c r="C243" s="31">
        <v>1001</v>
      </c>
      <c r="D243" s="15">
        <f>INDEX(卡牌图鉴!$S$2:$S$53,MATCH(monster!C243,卡牌图鉴!$C$2:$C$53,0))</f>
        <v>4</v>
      </c>
      <c r="E243" s="31">
        <v>10</v>
      </c>
      <c r="F243" s="15">
        <f>INT(INDEX(卡牌图鉴!$AB$2:$AB$53,MATCH(monster!C243,卡牌图鉴!$C$2:$C$57,0)) * INDEX(数值规划表!$B$61:$B$71,monster!E243+1) * 血量调整)</f>
        <v>1985</v>
      </c>
      <c r="G243" s="15">
        <f>ROUND(INDEX(卡牌图鉴!$AB$2:$AB$53,MATCH(monster!C243,卡牌图鉴!$C$2:$C$57,0)) * INDEX(数值规划表!$D$61:$D$71,monster!E243+1)*血量调整,2)</f>
        <v>59.57</v>
      </c>
      <c r="H243" s="15">
        <f>ROUND(INDEX(卡牌图鉴!$AA$2:$AA$53,MATCH(monster!C243,卡牌图鉴!$C$2:$C$53,0)) * INDEX(数值规划表!$C$61:$C$71,monster!E243+1),2)</f>
        <v>240.02</v>
      </c>
      <c r="I243" s="15">
        <f>ROUND(INDEX(卡牌图鉴!$AA$2:$AA$53,MATCH(monster!C243,卡牌图鉴!$C$2:$C$53,0)) * INDEX(数值规划表!$E$61:$E$71,monster!E243+1),2)</f>
        <v>7.2</v>
      </c>
      <c r="J243" s="15">
        <f>INDEX(卡牌图鉴!$J$2:$J$53,MATCH(monster!C243,卡牌图鉴!$C$2:$C$53,0))</f>
        <v>1.2</v>
      </c>
      <c r="K243" s="15">
        <f>INDEX(卡牌图鉴!$S$2:$S$53,MATCH(monster!C243,卡牌图鉴!$C$2:$C$53,0))</f>
        <v>4</v>
      </c>
      <c r="L243" s="15">
        <f>INDEX(卡牌图鉴!$H$2:$H$53,MATCH(monster!C243,卡牌图鉴!$C$2:$C$53,0))</f>
        <v>2</v>
      </c>
      <c r="M243" s="15">
        <f>INDEX(卡牌图鉴!$L$2:$L$53,MATCH(monster!C243,卡牌图鉴!$C$2:$C$53,0))</f>
        <v>5</v>
      </c>
      <c r="N243" s="15">
        <f>INDEX(卡牌图鉴!$AD$2:$AD$53,MATCH(monster!C243,卡牌图鉴!$C$2:$C$53,0))</f>
        <v>8</v>
      </c>
      <c r="O243" s="78">
        <f>INDEX(卡牌图鉴!$K$2:$K$53,MATCH(monster!C243,卡牌图鉴!$C$2:$C$53,0))</f>
        <v>5</v>
      </c>
    </row>
    <row r="244" spans="1:15" x14ac:dyDescent="0.15">
      <c r="A244" s="31">
        <v>1078</v>
      </c>
      <c r="B244" s="31" t="s">
        <v>1445</v>
      </c>
      <c r="C244" s="31">
        <v>1078</v>
      </c>
      <c r="D244" s="15">
        <f>INDEX(卡牌图鉴!$S$2:$S$53,MATCH(monster!C244,卡牌图鉴!$C$2:$C$53,0))</f>
        <v>3</v>
      </c>
      <c r="E244" s="31">
        <v>0</v>
      </c>
      <c r="F244" s="15">
        <f>INT(INDEX(卡牌图鉴!$AB$2:$AB$53,MATCH(monster!C244,卡牌图鉴!$C$2:$C$57,0)) * INDEX(数值规划表!$B$61:$B$71,monster!E244+1) * 血量调整)</f>
        <v>218</v>
      </c>
      <c r="G244" s="15">
        <f>ROUND(INDEX(卡牌图鉴!$AB$2:$AB$53,MATCH(monster!C244,卡牌图鉴!$C$2:$C$57,0)) * INDEX(数值规划表!$D$61:$D$71,monster!E244+1)*血量调整,2)</f>
        <v>6.54</v>
      </c>
      <c r="H244" s="15">
        <f>ROUND(INDEX(卡牌图鉴!$AA$2:$AA$53,MATCH(monster!C244,卡牌图鉴!$C$2:$C$53,0)) * INDEX(数值规划表!$C$61:$C$71,monster!E244+1),2)</f>
        <v>78.400000000000006</v>
      </c>
      <c r="I244" s="15">
        <f>ROUND(INDEX(卡牌图鉴!$AA$2:$AA$53,MATCH(monster!C244,卡牌图鉴!$C$2:$C$53,0)) * INDEX(数值规划表!$E$61:$E$71,monster!E244+1),2)</f>
        <v>2.35</v>
      </c>
      <c r="J244" s="15">
        <f>INDEX(卡牌图鉴!$J$2:$J$53,MATCH(monster!C244,卡牌图鉴!$C$2:$C$53,0))</f>
        <v>1.2</v>
      </c>
      <c r="K244" s="15">
        <f>INDEX(卡牌图鉴!$S$2:$S$53,MATCH(monster!C244,卡牌图鉴!$C$2:$C$53,0))</f>
        <v>3</v>
      </c>
      <c r="L244" s="15">
        <f>INDEX(卡牌图鉴!$H$2:$H$53,MATCH(monster!C244,卡牌图鉴!$C$2:$C$53,0))</f>
        <v>3.3</v>
      </c>
      <c r="M244" s="15">
        <f>INDEX(卡牌图鉴!$L$2:$L$53,MATCH(monster!C244,卡牌图鉴!$C$2:$C$53,0))</f>
        <v>5</v>
      </c>
      <c r="N244" s="15">
        <f>INDEX(卡牌图鉴!$AD$2:$AD$53,MATCH(monster!C244,卡牌图鉴!$C$2:$C$53,0))</f>
        <v>12</v>
      </c>
      <c r="O244" s="78">
        <f>INDEX(卡牌图鉴!$K$2:$K$53,MATCH(monster!C244,卡牌图鉴!$C$2:$C$53,0))</f>
        <v>5</v>
      </c>
    </row>
    <row r="245" spans="1:15" x14ac:dyDescent="0.15">
      <c r="A245" s="31">
        <v>1079</v>
      </c>
      <c r="B245" s="31" t="s">
        <v>1446</v>
      </c>
      <c r="C245" s="31">
        <v>1078</v>
      </c>
      <c r="D245" s="15">
        <f>INDEX(卡牌图鉴!$S$2:$S$53,MATCH(monster!C245,卡牌图鉴!$C$2:$C$53,0))</f>
        <v>3</v>
      </c>
      <c r="E245" s="31">
        <v>1</v>
      </c>
      <c r="F245" s="15">
        <f>INT(INDEX(卡牌图鉴!$AB$2:$AB$53,MATCH(monster!C245,卡牌图鉴!$C$2:$C$57,0)) * INDEX(数值规划表!$B$61:$B$71,monster!E245+1) * 血量调整)</f>
        <v>244</v>
      </c>
      <c r="G245" s="15">
        <f>ROUND(INDEX(卡牌图鉴!$AB$2:$AB$53,MATCH(monster!C245,卡牌图鉴!$C$2:$C$57,0)) * INDEX(数值规划表!$D$61:$D$71,monster!E245+1)*血量调整,2)</f>
        <v>7.33</v>
      </c>
      <c r="H245" s="15">
        <f>ROUND(INDEX(卡牌图鉴!$AA$2:$AA$53,MATCH(monster!C245,卡牌图鉴!$C$2:$C$53,0)) * INDEX(数值规划表!$C$61:$C$71,monster!E245+1),2)</f>
        <v>87.81</v>
      </c>
      <c r="I245" s="15">
        <f>ROUND(INDEX(卡牌图鉴!$AA$2:$AA$53,MATCH(monster!C245,卡牌图鉴!$C$2:$C$53,0)) * INDEX(数值规划表!$E$61:$E$71,monster!E245+1),2)</f>
        <v>2.63</v>
      </c>
      <c r="J245" s="15">
        <f>INDEX(卡牌图鉴!$J$2:$J$53,MATCH(monster!C245,卡牌图鉴!$C$2:$C$53,0))</f>
        <v>1.2</v>
      </c>
      <c r="K245" s="15">
        <f>INDEX(卡牌图鉴!$S$2:$S$53,MATCH(monster!C245,卡牌图鉴!$C$2:$C$53,0))</f>
        <v>3</v>
      </c>
      <c r="L245" s="15">
        <f>INDEX(卡牌图鉴!$H$2:$H$53,MATCH(monster!C245,卡牌图鉴!$C$2:$C$53,0))</f>
        <v>3.3</v>
      </c>
      <c r="M245" s="15">
        <f>INDEX(卡牌图鉴!$L$2:$L$53,MATCH(monster!C245,卡牌图鉴!$C$2:$C$53,0))</f>
        <v>5</v>
      </c>
      <c r="N245" s="15">
        <f>INDEX(卡牌图鉴!$AD$2:$AD$53,MATCH(monster!C245,卡牌图鉴!$C$2:$C$53,0))</f>
        <v>12</v>
      </c>
      <c r="O245" s="78">
        <f>INDEX(卡牌图鉴!$K$2:$K$53,MATCH(monster!C245,卡牌图鉴!$C$2:$C$53,0))</f>
        <v>5</v>
      </c>
    </row>
    <row r="246" spans="1:15" x14ac:dyDescent="0.15">
      <c r="A246" s="31">
        <v>1080</v>
      </c>
      <c r="B246" s="31" t="s">
        <v>214</v>
      </c>
      <c r="C246" s="31">
        <v>1078</v>
      </c>
      <c r="D246" s="15">
        <f>INDEX(卡牌图鉴!$S$2:$S$53,MATCH(monster!C246,卡牌图鉴!$C$2:$C$53,0))</f>
        <v>3</v>
      </c>
      <c r="E246" s="31">
        <v>2</v>
      </c>
      <c r="F246" s="15">
        <f>INT(INDEX(卡牌图鉴!$AB$2:$AB$53,MATCH(monster!C246,卡牌图鉴!$C$2:$C$57,0)) * INDEX(数值规划表!$B$61:$B$71,monster!E246+1) * 血量调整)</f>
        <v>273</v>
      </c>
      <c r="G246" s="15">
        <f>ROUND(INDEX(卡牌图鉴!$AB$2:$AB$53,MATCH(monster!C246,卡牌图鉴!$C$2:$C$57,0)) * INDEX(数值规划表!$D$61:$D$71,monster!E246+1)*血量调整,2)</f>
        <v>8.2100000000000009</v>
      </c>
      <c r="H246" s="15">
        <f>ROUND(INDEX(卡牌图鉴!$AA$2:$AA$53,MATCH(monster!C246,卡牌图鉴!$C$2:$C$53,0)) * INDEX(数值规划表!$C$61:$C$71,monster!E246+1),2)</f>
        <v>98.34</v>
      </c>
      <c r="I246" s="15">
        <f>ROUND(INDEX(卡牌图鉴!$AA$2:$AA$53,MATCH(monster!C246,卡牌图鉴!$C$2:$C$53,0)) * INDEX(数值规划表!$E$61:$E$71,monster!E246+1),2)</f>
        <v>2.95</v>
      </c>
      <c r="J246" s="15">
        <f>INDEX(卡牌图鉴!$J$2:$J$53,MATCH(monster!C246,卡牌图鉴!$C$2:$C$53,0))</f>
        <v>1.2</v>
      </c>
      <c r="K246" s="15">
        <f>INDEX(卡牌图鉴!$S$2:$S$53,MATCH(monster!C246,卡牌图鉴!$C$2:$C$53,0))</f>
        <v>3</v>
      </c>
      <c r="L246" s="15">
        <f>INDEX(卡牌图鉴!$H$2:$H$53,MATCH(monster!C246,卡牌图鉴!$C$2:$C$53,0))</f>
        <v>3.3</v>
      </c>
      <c r="M246" s="15">
        <f>INDEX(卡牌图鉴!$L$2:$L$53,MATCH(monster!C246,卡牌图鉴!$C$2:$C$53,0))</f>
        <v>5</v>
      </c>
      <c r="N246" s="15">
        <f>INDEX(卡牌图鉴!$AD$2:$AD$53,MATCH(monster!C246,卡牌图鉴!$C$2:$C$53,0))</f>
        <v>12</v>
      </c>
      <c r="O246" s="78">
        <f>INDEX(卡牌图鉴!$K$2:$K$53,MATCH(monster!C246,卡牌图鉴!$C$2:$C$53,0))</f>
        <v>5</v>
      </c>
    </row>
    <row r="247" spans="1:15" x14ac:dyDescent="0.15">
      <c r="A247" s="31">
        <v>1081</v>
      </c>
      <c r="B247" s="31" t="s">
        <v>215</v>
      </c>
      <c r="C247" s="31">
        <v>1078</v>
      </c>
      <c r="D247" s="15">
        <f>INDEX(卡牌图鉴!$S$2:$S$53,MATCH(monster!C247,卡牌图鉴!$C$2:$C$53,0))</f>
        <v>3</v>
      </c>
      <c r="E247" s="31">
        <v>3</v>
      </c>
      <c r="F247" s="15">
        <f>INT(INDEX(卡牌图鉴!$AB$2:$AB$53,MATCH(monster!C247,卡牌图鉴!$C$2:$C$57,0)) * INDEX(数值规划表!$B$61:$B$71,monster!E247+1) * 血量调整)</f>
        <v>306</v>
      </c>
      <c r="G247" s="15">
        <f>ROUND(INDEX(卡牌图鉴!$AB$2:$AB$53,MATCH(monster!C247,卡牌图鉴!$C$2:$C$57,0)) * INDEX(数值规划表!$D$61:$D$71,monster!E247+1)*血量调整,2)</f>
        <v>9.19</v>
      </c>
      <c r="H247" s="15">
        <f>ROUND(INDEX(卡牌图鉴!$AA$2:$AA$53,MATCH(monster!C247,卡牌图鉴!$C$2:$C$53,0)) * INDEX(数值规划表!$C$61:$C$71,monster!E247+1),2)</f>
        <v>110.15</v>
      </c>
      <c r="I247" s="15">
        <f>ROUND(INDEX(卡牌图鉴!$AA$2:$AA$53,MATCH(monster!C247,卡牌图鉴!$C$2:$C$53,0)) * INDEX(数值规划表!$E$61:$E$71,monster!E247+1),2)</f>
        <v>3.3</v>
      </c>
      <c r="J247" s="15">
        <f>INDEX(卡牌图鉴!$J$2:$J$53,MATCH(monster!C247,卡牌图鉴!$C$2:$C$53,0))</f>
        <v>1.2</v>
      </c>
      <c r="K247" s="15">
        <f>INDEX(卡牌图鉴!$S$2:$S$53,MATCH(monster!C247,卡牌图鉴!$C$2:$C$53,0))</f>
        <v>3</v>
      </c>
      <c r="L247" s="15">
        <f>INDEX(卡牌图鉴!$H$2:$H$53,MATCH(monster!C247,卡牌图鉴!$C$2:$C$53,0))</f>
        <v>3.3</v>
      </c>
      <c r="M247" s="15">
        <f>INDEX(卡牌图鉴!$L$2:$L$53,MATCH(monster!C247,卡牌图鉴!$C$2:$C$53,0))</f>
        <v>5</v>
      </c>
      <c r="N247" s="15">
        <f>INDEX(卡牌图鉴!$AD$2:$AD$53,MATCH(monster!C247,卡牌图鉴!$C$2:$C$53,0))</f>
        <v>12</v>
      </c>
      <c r="O247" s="78">
        <f>INDEX(卡牌图鉴!$K$2:$K$53,MATCH(monster!C247,卡牌图鉴!$C$2:$C$53,0))</f>
        <v>5</v>
      </c>
    </row>
    <row r="248" spans="1:15" x14ac:dyDescent="0.15">
      <c r="A248" s="31">
        <v>1082</v>
      </c>
      <c r="B248" s="31" t="s">
        <v>216</v>
      </c>
      <c r="C248" s="31">
        <v>1078</v>
      </c>
      <c r="D248" s="15">
        <f>INDEX(卡牌图鉴!$S$2:$S$53,MATCH(monster!C248,卡牌图鉴!$C$2:$C$53,0))</f>
        <v>3</v>
      </c>
      <c r="E248" s="31">
        <v>4</v>
      </c>
      <c r="F248" s="15">
        <f>INT(INDEX(卡牌图鉴!$AB$2:$AB$53,MATCH(monster!C248,卡牌图鉴!$C$2:$C$57,0)) * INDEX(数值规划表!$B$61:$B$71,monster!E248+1) * 血量调整)</f>
        <v>343</v>
      </c>
      <c r="G248" s="15">
        <f>ROUND(INDEX(卡牌图鉴!$AB$2:$AB$53,MATCH(monster!C248,卡牌图鉴!$C$2:$C$57,0)) * INDEX(数值规划表!$D$61:$D$71,monster!E248+1)*血量调整,2)</f>
        <v>10.3</v>
      </c>
      <c r="H248" s="15">
        <f>ROUND(INDEX(卡牌图鉴!$AA$2:$AA$53,MATCH(monster!C248,卡牌图鉴!$C$2:$C$53,0)) * INDEX(数值规划表!$C$61:$C$71,monster!E248+1),2)</f>
        <v>123.36</v>
      </c>
      <c r="I248" s="15">
        <f>ROUND(INDEX(卡牌图鉴!$AA$2:$AA$53,MATCH(monster!C248,卡牌图鉴!$C$2:$C$53,0)) * INDEX(数值规划表!$E$61:$E$71,monster!E248+1),2)</f>
        <v>3.7</v>
      </c>
      <c r="J248" s="15">
        <f>INDEX(卡牌图鉴!$J$2:$J$53,MATCH(monster!C248,卡牌图鉴!$C$2:$C$53,0))</f>
        <v>1.2</v>
      </c>
      <c r="K248" s="15">
        <f>INDEX(卡牌图鉴!$S$2:$S$53,MATCH(monster!C248,卡牌图鉴!$C$2:$C$53,0))</f>
        <v>3</v>
      </c>
      <c r="L248" s="15">
        <f>INDEX(卡牌图鉴!$H$2:$H$53,MATCH(monster!C248,卡牌图鉴!$C$2:$C$53,0))</f>
        <v>3.3</v>
      </c>
      <c r="M248" s="15">
        <f>INDEX(卡牌图鉴!$L$2:$L$53,MATCH(monster!C248,卡牌图鉴!$C$2:$C$53,0))</f>
        <v>5</v>
      </c>
      <c r="N248" s="15">
        <f>INDEX(卡牌图鉴!$AD$2:$AD$53,MATCH(monster!C248,卡牌图鉴!$C$2:$C$53,0))</f>
        <v>12</v>
      </c>
      <c r="O248" s="78">
        <f>INDEX(卡牌图鉴!$K$2:$K$53,MATCH(monster!C248,卡牌图鉴!$C$2:$C$53,0))</f>
        <v>5</v>
      </c>
    </row>
    <row r="249" spans="1:15" x14ac:dyDescent="0.15">
      <c r="A249" s="31">
        <v>1083</v>
      </c>
      <c r="B249" s="31" t="s">
        <v>217</v>
      </c>
      <c r="C249" s="31">
        <v>1078</v>
      </c>
      <c r="D249" s="15">
        <f>INDEX(卡牌图鉴!$S$2:$S$53,MATCH(monster!C249,卡牌图鉴!$C$2:$C$53,0))</f>
        <v>3</v>
      </c>
      <c r="E249" s="31">
        <v>5</v>
      </c>
      <c r="F249" s="15">
        <f>INT(INDEX(卡牌图鉴!$AB$2:$AB$53,MATCH(monster!C249,卡牌图鉴!$C$2:$C$57,0)) * INDEX(数值规划表!$B$61:$B$71,monster!E249+1) * 血量调整)</f>
        <v>384</v>
      </c>
      <c r="G249" s="15">
        <f>ROUND(INDEX(卡牌图鉴!$AB$2:$AB$53,MATCH(monster!C249,卡牌图鉴!$C$2:$C$57,0)) * INDEX(数值规划表!$D$61:$D$71,monster!E249+1)*血量调整,2)</f>
        <v>11.53</v>
      </c>
      <c r="H249" s="15">
        <f>ROUND(INDEX(卡牌图鉴!$AA$2:$AA$53,MATCH(monster!C249,卡牌图鉴!$C$2:$C$53,0)) * INDEX(数值规划表!$C$61:$C$71,monster!E249+1),2)</f>
        <v>138.16999999999999</v>
      </c>
      <c r="I249" s="15">
        <f>ROUND(INDEX(卡牌图鉴!$AA$2:$AA$53,MATCH(monster!C249,卡牌图鉴!$C$2:$C$53,0)) * INDEX(数值规划表!$E$61:$E$71,monster!E249+1),2)</f>
        <v>4.1500000000000004</v>
      </c>
      <c r="J249" s="15">
        <f>INDEX(卡牌图鉴!$J$2:$J$53,MATCH(monster!C249,卡牌图鉴!$C$2:$C$53,0))</f>
        <v>1.2</v>
      </c>
      <c r="K249" s="15">
        <f>INDEX(卡牌图鉴!$S$2:$S$53,MATCH(monster!C249,卡牌图鉴!$C$2:$C$53,0))</f>
        <v>3</v>
      </c>
      <c r="L249" s="15">
        <f>INDEX(卡牌图鉴!$H$2:$H$53,MATCH(monster!C249,卡牌图鉴!$C$2:$C$53,0))</f>
        <v>3.3</v>
      </c>
      <c r="M249" s="15">
        <f>INDEX(卡牌图鉴!$L$2:$L$53,MATCH(monster!C249,卡牌图鉴!$C$2:$C$53,0))</f>
        <v>5</v>
      </c>
      <c r="N249" s="15">
        <f>INDEX(卡牌图鉴!$AD$2:$AD$53,MATCH(monster!C249,卡牌图鉴!$C$2:$C$53,0))</f>
        <v>12</v>
      </c>
      <c r="O249" s="78">
        <f>INDEX(卡牌图鉴!$K$2:$K$53,MATCH(monster!C249,卡牌图鉴!$C$2:$C$53,0))</f>
        <v>5</v>
      </c>
    </row>
    <row r="250" spans="1:15" x14ac:dyDescent="0.15">
      <c r="A250" s="31">
        <v>1084</v>
      </c>
      <c r="B250" s="31" t="s">
        <v>218</v>
      </c>
      <c r="C250" s="31">
        <v>1078</v>
      </c>
      <c r="D250" s="15">
        <f>INDEX(卡牌图鉴!$S$2:$S$53,MATCH(monster!C250,卡牌图鉴!$C$2:$C$53,0))</f>
        <v>3</v>
      </c>
      <c r="E250" s="31">
        <v>6</v>
      </c>
      <c r="F250" s="15">
        <f>INT(INDEX(卡牌图鉴!$AB$2:$AB$53,MATCH(monster!C250,卡牌图鉴!$C$2:$C$57,0)) * INDEX(数值规划表!$B$61:$B$71,monster!E250+1) * 血量调整)</f>
        <v>430</v>
      </c>
      <c r="G250" s="15">
        <f>ROUND(INDEX(卡牌图鉴!$AB$2:$AB$53,MATCH(monster!C250,卡牌图鉴!$C$2:$C$57,0)) * INDEX(数值规划表!$D$61:$D$71,monster!E250+1)*血量调整,2)</f>
        <v>12.92</v>
      </c>
      <c r="H250" s="15">
        <f>ROUND(INDEX(卡牌图鉴!$AA$2:$AA$53,MATCH(monster!C250,卡牌图鉴!$C$2:$C$53,0)) * INDEX(数值规划表!$C$61:$C$71,monster!E250+1),2)</f>
        <v>154.75</v>
      </c>
      <c r="I250" s="15">
        <f>ROUND(INDEX(卡牌图鉴!$AA$2:$AA$53,MATCH(monster!C250,卡牌图鉴!$C$2:$C$53,0)) * INDEX(数值规划表!$E$61:$E$71,monster!E250+1),2)</f>
        <v>4.6399999999999997</v>
      </c>
      <c r="J250" s="15">
        <f>INDEX(卡牌图鉴!$J$2:$J$53,MATCH(monster!C250,卡牌图鉴!$C$2:$C$53,0))</f>
        <v>1.2</v>
      </c>
      <c r="K250" s="15">
        <f>INDEX(卡牌图鉴!$S$2:$S$53,MATCH(monster!C250,卡牌图鉴!$C$2:$C$53,0))</f>
        <v>3</v>
      </c>
      <c r="L250" s="15">
        <f>INDEX(卡牌图鉴!$H$2:$H$53,MATCH(monster!C250,卡牌图鉴!$C$2:$C$53,0))</f>
        <v>3.3</v>
      </c>
      <c r="M250" s="15">
        <f>INDEX(卡牌图鉴!$L$2:$L$53,MATCH(monster!C250,卡牌图鉴!$C$2:$C$53,0))</f>
        <v>5</v>
      </c>
      <c r="N250" s="15">
        <f>INDEX(卡牌图鉴!$AD$2:$AD$53,MATCH(monster!C250,卡牌图鉴!$C$2:$C$53,0))</f>
        <v>12</v>
      </c>
      <c r="O250" s="78">
        <f>INDEX(卡牌图鉴!$K$2:$K$53,MATCH(monster!C250,卡牌图鉴!$C$2:$C$53,0))</f>
        <v>5</v>
      </c>
    </row>
    <row r="251" spans="1:15" x14ac:dyDescent="0.15">
      <c r="A251" s="31">
        <v>1085</v>
      </c>
      <c r="B251" s="31" t="s">
        <v>219</v>
      </c>
      <c r="C251" s="31">
        <v>1078</v>
      </c>
      <c r="D251" s="15">
        <f>INDEX(卡牌图鉴!$S$2:$S$53,MATCH(monster!C251,卡牌图鉴!$C$2:$C$53,0))</f>
        <v>3</v>
      </c>
      <c r="E251" s="31">
        <v>7</v>
      </c>
      <c r="F251" s="15">
        <f>INT(INDEX(卡牌图鉴!$AB$2:$AB$53,MATCH(monster!C251,卡牌图鉴!$C$2:$C$57,0)) * INDEX(数值规划表!$B$61:$B$71,monster!E251+1) * 血量调整)</f>
        <v>482</v>
      </c>
      <c r="G251" s="15">
        <f>ROUND(INDEX(卡牌图鉴!$AB$2:$AB$53,MATCH(monster!C251,卡牌图鉴!$C$2:$C$57,0)) * INDEX(数值规划表!$D$61:$D$71,monster!E251+1)*血量调整,2)</f>
        <v>14.47</v>
      </c>
      <c r="H251" s="15">
        <f>ROUND(INDEX(卡牌图鉴!$AA$2:$AA$53,MATCH(monster!C251,卡牌图鉴!$C$2:$C$53,0)) * INDEX(数值规划表!$C$61:$C$71,monster!E251+1),2)</f>
        <v>173.32</v>
      </c>
      <c r="I251" s="15">
        <f>ROUND(INDEX(卡牌图鉴!$AA$2:$AA$53,MATCH(monster!C251,卡牌图鉴!$C$2:$C$53,0)) * INDEX(数值规划表!$E$61:$E$71,monster!E251+1),2)</f>
        <v>5.2</v>
      </c>
      <c r="J251" s="15">
        <f>INDEX(卡牌图鉴!$J$2:$J$53,MATCH(monster!C251,卡牌图鉴!$C$2:$C$53,0))</f>
        <v>1.2</v>
      </c>
      <c r="K251" s="15">
        <f>INDEX(卡牌图鉴!$S$2:$S$53,MATCH(monster!C251,卡牌图鉴!$C$2:$C$53,0))</f>
        <v>3</v>
      </c>
      <c r="L251" s="15">
        <f>INDEX(卡牌图鉴!$H$2:$H$53,MATCH(monster!C251,卡牌图鉴!$C$2:$C$53,0))</f>
        <v>3.3</v>
      </c>
      <c r="M251" s="15">
        <f>INDEX(卡牌图鉴!$L$2:$L$53,MATCH(monster!C251,卡牌图鉴!$C$2:$C$53,0))</f>
        <v>5</v>
      </c>
      <c r="N251" s="15">
        <f>INDEX(卡牌图鉴!$AD$2:$AD$53,MATCH(monster!C251,卡牌图鉴!$C$2:$C$53,0))</f>
        <v>12</v>
      </c>
      <c r="O251" s="78">
        <f>INDEX(卡牌图鉴!$K$2:$K$53,MATCH(monster!C251,卡牌图鉴!$C$2:$C$53,0))</f>
        <v>5</v>
      </c>
    </row>
    <row r="252" spans="1:15" x14ac:dyDescent="0.15">
      <c r="A252" s="31">
        <v>1086</v>
      </c>
      <c r="B252" s="31" t="s">
        <v>220</v>
      </c>
      <c r="C252" s="31">
        <v>1078</v>
      </c>
      <c r="D252" s="15">
        <f>INDEX(卡牌图鉴!$S$2:$S$53,MATCH(monster!C252,卡牌图鉴!$C$2:$C$53,0))</f>
        <v>3</v>
      </c>
      <c r="E252" s="31">
        <v>8</v>
      </c>
      <c r="F252" s="15">
        <f>INT(INDEX(卡牌图鉴!$AB$2:$AB$53,MATCH(monster!C252,卡牌图鉴!$C$2:$C$57,0)) * INDEX(数值规划表!$B$61:$B$71,monster!E252+1) * 血量调整)</f>
        <v>540</v>
      </c>
      <c r="G252" s="15">
        <f>ROUND(INDEX(卡牌图鉴!$AB$2:$AB$53,MATCH(monster!C252,卡牌图鉴!$C$2:$C$57,0)) * INDEX(数值规划表!$D$61:$D$71,monster!E252+1)*血量调整,2)</f>
        <v>16.2</v>
      </c>
      <c r="H252" s="15">
        <f>ROUND(INDEX(卡牌图鉴!$AA$2:$AA$53,MATCH(monster!C252,卡牌图鉴!$C$2:$C$53,0)) * INDEX(数值规划表!$C$61:$C$71,monster!E252+1),2)</f>
        <v>194.12</v>
      </c>
      <c r="I252" s="15">
        <f>ROUND(INDEX(卡牌图鉴!$AA$2:$AA$53,MATCH(monster!C252,卡牌图鉴!$C$2:$C$53,0)) * INDEX(数值规划表!$E$61:$E$71,monster!E252+1),2)</f>
        <v>5.82</v>
      </c>
      <c r="J252" s="15">
        <f>INDEX(卡牌图鉴!$J$2:$J$53,MATCH(monster!C252,卡牌图鉴!$C$2:$C$53,0))</f>
        <v>1.2</v>
      </c>
      <c r="K252" s="15">
        <f>INDEX(卡牌图鉴!$S$2:$S$53,MATCH(monster!C252,卡牌图鉴!$C$2:$C$53,0))</f>
        <v>3</v>
      </c>
      <c r="L252" s="15">
        <f>INDEX(卡牌图鉴!$H$2:$H$53,MATCH(monster!C252,卡牌图鉴!$C$2:$C$53,0))</f>
        <v>3.3</v>
      </c>
      <c r="M252" s="15">
        <f>INDEX(卡牌图鉴!$L$2:$L$53,MATCH(monster!C252,卡牌图鉴!$C$2:$C$53,0))</f>
        <v>5</v>
      </c>
      <c r="N252" s="15">
        <f>INDEX(卡牌图鉴!$AD$2:$AD$53,MATCH(monster!C252,卡牌图鉴!$C$2:$C$53,0))</f>
        <v>12</v>
      </c>
      <c r="O252" s="78">
        <f>INDEX(卡牌图鉴!$K$2:$K$53,MATCH(monster!C252,卡牌图鉴!$C$2:$C$53,0))</f>
        <v>5</v>
      </c>
    </row>
    <row r="253" spans="1:15" x14ac:dyDescent="0.15">
      <c r="A253" s="31">
        <v>1087</v>
      </c>
      <c r="B253" s="31" t="s">
        <v>221</v>
      </c>
      <c r="C253" s="31">
        <v>1078</v>
      </c>
      <c r="D253" s="15">
        <f>INDEX(卡牌图鉴!$S$2:$S$53,MATCH(monster!C253,卡牌图鉴!$C$2:$C$53,0))</f>
        <v>3</v>
      </c>
      <c r="E253" s="31">
        <v>9</v>
      </c>
      <c r="F253" s="15">
        <f>INT(INDEX(卡牌图鉴!$AB$2:$AB$53,MATCH(monster!C253,卡牌图鉴!$C$2:$C$57,0)) * INDEX(数值规划表!$B$61:$B$71,monster!E253+1) * 血量调整)</f>
        <v>604</v>
      </c>
      <c r="G253" s="15">
        <f>ROUND(INDEX(卡牌图鉴!$AB$2:$AB$53,MATCH(monster!C253,卡牌图鉴!$C$2:$C$57,0)) * INDEX(数值规划表!$D$61:$D$71,monster!E253+1)*血量调整,2)</f>
        <v>18.149999999999999</v>
      </c>
      <c r="H253" s="15">
        <f>ROUND(INDEX(卡牌图鉴!$AA$2:$AA$53,MATCH(monster!C253,卡牌图鉴!$C$2:$C$53,0)) * INDEX(数值规划表!$C$61:$C$71,monster!E253+1),2)</f>
        <v>217.41</v>
      </c>
      <c r="I253" s="15">
        <f>ROUND(INDEX(卡牌图鉴!$AA$2:$AA$53,MATCH(monster!C253,卡牌图鉴!$C$2:$C$53,0)) * INDEX(数值规划表!$E$61:$E$71,monster!E253+1),2)</f>
        <v>6.52</v>
      </c>
      <c r="J253" s="15">
        <f>INDEX(卡牌图鉴!$J$2:$J$53,MATCH(monster!C253,卡牌图鉴!$C$2:$C$53,0))</f>
        <v>1.2</v>
      </c>
      <c r="K253" s="15">
        <f>INDEX(卡牌图鉴!$S$2:$S$53,MATCH(monster!C253,卡牌图鉴!$C$2:$C$53,0))</f>
        <v>3</v>
      </c>
      <c r="L253" s="15">
        <f>INDEX(卡牌图鉴!$H$2:$H$53,MATCH(monster!C253,卡牌图鉴!$C$2:$C$53,0))</f>
        <v>3.3</v>
      </c>
      <c r="M253" s="15">
        <f>INDEX(卡牌图鉴!$L$2:$L$53,MATCH(monster!C253,卡牌图鉴!$C$2:$C$53,0))</f>
        <v>5</v>
      </c>
      <c r="N253" s="15">
        <f>INDEX(卡牌图鉴!$AD$2:$AD$53,MATCH(monster!C253,卡牌图鉴!$C$2:$C$53,0))</f>
        <v>12</v>
      </c>
      <c r="O253" s="78">
        <f>INDEX(卡牌图鉴!$K$2:$K$53,MATCH(monster!C253,卡牌图鉴!$C$2:$C$53,0))</f>
        <v>5</v>
      </c>
    </row>
    <row r="254" spans="1:15" x14ac:dyDescent="0.15">
      <c r="A254" s="31">
        <v>1088</v>
      </c>
      <c r="B254" s="31" t="s">
        <v>222</v>
      </c>
      <c r="C254" s="31">
        <v>1078</v>
      </c>
      <c r="D254" s="15">
        <f>INDEX(卡牌图鉴!$S$2:$S$53,MATCH(monster!C254,卡牌图鉴!$C$2:$C$53,0))</f>
        <v>3</v>
      </c>
      <c r="E254" s="31">
        <v>10</v>
      </c>
      <c r="F254" s="15">
        <f>INT(INDEX(卡牌图鉴!$AB$2:$AB$53,MATCH(monster!C254,卡牌图鉴!$C$2:$C$57,0)) * INDEX(数值规划表!$B$61:$B$71,monster!E254+1) * 血量调整)</f>
        <v>677</v>
      </c>
      <c r="G254" s="15">
        <f>ROUND(INDEX(卡牌图鉴!$AB$2:$AB$53,MATCH(monster!C254,卡牌图鉴!$C$2:$C$57,0)) * INDEX(数值规划表!$D$61:$D$71,monster!E254+1)*血量调整,2)</f>
        <v>20.329999999999998</v>
      </c>
      <c r="H254" s="15">
        <f>ROUND(INDEX(卡牌图鉴!$AA$2:$AA$53,MATCH(monster!C254,卡牌图鉴!$C$2:$C$53,0)) * INDEX(数值规划表!$C$61:$C$71,monster!E254+1),2)</f>
        <v>243.5</v>
      </c>
      <c r="I254" s="15">
        <f>ROUND(INDEX(卡牌图鉴!$AA$2:$AA$53,MATCH(monster!C254,卡牌图鉴!$C$2:$C$53,0)) * INDEX(数值规划表!$E$61:$E$71,monster!E254+1),2)</f>
        <v>7.3</v>
      </c>
      <c r="J254" s="15">
        <f>INDEX(卡牌图鉴!$J$2:$J$53,MATCH(monster!C254,卡牌图鉴!$C$2:$C$53,0))</f>
        <v>1.2</v>
      </c>
      <c r="K254" s="15">
        <f>INDEX(卡牌图鉴!$S$2:$S$53,MATCH(monster!C254,卡牌图鉴!$C$2:$C$53,0))</f>
        <v>3</v>
      </c>
      <c r="L254" s="15">
        <f>INDEX(卡牌图鉴!$H$2:$H$53,MATCH(monster!C254,卡牌图鉴!$C$2:$C$53,0))</f>
        <v>3.3</v>
      </c>
      <c r="M254" s="15">
        <f>INDEX(卡牌图鉴!$L$2:$L$53,MATCH(monster!C254,卡牌图鉴!$C$2:$C$53,0))</f>
        <v>5</v>
      </c>
      <c r="N254" s="15">
        <f>INDEX(卡牌图鉴!$AD$2:$AD$53,MATCH(monster!C254,卡牌图鉴!$C$2:$C$53,0))</f>
        <v>12</v>
      </c>
      <c r="O254" s="78">
        <f>INDEX(卡牌图鉴!$K$2:$K$53,MATCH(monster!C254,卡牌图鉴!$C$2:$C$53,0))</f>
        <v>5</v>
      </c>
    </row>
    <row r="255" spans="1:15" x14ac:dyDescent="0.15">
      <c r="A255" s="31">
        <v>1116</v>
      </c>
      <c r="B255" s="31" t="s">
        <v>1447</v>
      </c>
      <c r="C255" s="31">
        <v>1116</v>
      </c>
      <c r="D255" s="15">
        <f>INDEX(卡牌图鉴!$S$2:$S$53,MATCH(monster!C255,卡牌图鉴!$C$2:$C$53,0))</f>
        <v>3</v>
      </c>
      <c r="E255" s="31">
        <v>0</v>
      </c>
      <c r="F255" s="15">
        <f>INT(INDEX(卡牌图鉴!$AB$2:$AB$53,MATCH(monster!C255,卡牌图鉴!$C$2:$C$57,0)) * INDEX(数值规划表!$B$61:$B$71,monster!E255+1) * 血量调整)</f>
        <v>181</v>
      </c>
      <c r="G255" s="15">
        <f>ROUND(INDEX(卡牌图鉴!$AB$2:$AB$53,MATCH(monster!C255,卡牌图鉴!$C$2:$C$57,0)) * INDEX(数值规划表!$D$61:$D$71,monster!E255+1)*血量调整,2)</f>
        <v>5.45</v>
      </c>
      <c r="H255" s="15">
        <f>ROUND(INDEX(卡牌图鉴!$AA$2:$AA$53,MATCH(monster!C255,卡牌图鉴!$C$2:$C$53,0)) * INDEX(数值规划表!$C$61:$C$71,monster!E255+1),2)</f>
        <v>36.590000000000003</v>
      </c>
      <c r="I255" s="15">
        <f>ROUND(INDEX(卡牌图鉴!$AA$2:$AA$53,MATCH(monster!C255,卡牌图鉴!$C$2:$C$53,0)) * INDEX(数值规划表!$E$61:$E$71,monster!E255+1),2)</f>
        <v>1.1000000000000001</v>
      </c>
      <c r="J255" s="15">
        <f>INDEX(卡牌图鉴!$J$2:$J$53,MATCH(monster!C255,卡牌图鉴!$C$2:$C$53,0))</f>
        <v>1.2</v>
      </c>
      <c r="K255" s="15">
        <f>INDEX(卡牌图鉴!$S$2:$S$53,MATCH(monster!C255,卡牌图鉴!$C$2:$C$53,0))</f>
        <v>3</v>
      </c>
      <c r="L255" s="15">
        <f>INDEX(卡牌图鉴!$H$2:$H$53,MATCH(monster!C255,卡牌图鉴!$C$2:$C$53,0))</f>
        <v>3.3</v>
      </c>
      <c r="M255" s="15">
        <f>INDEX(卡牌图鉴!$L$2:$L$53,MATCH(monster!C255,卡牌图鉴!$C$2:$C$53,0))</f>
        <v>3</v>
      </c>
      <c r="N255" s="15">
        <f>INDEX(卡牌图鉴!$AD$2:$AD$53,MATCH(monster!C255,卡牌图鉴!$C$2:$C$53,0))</f>
        <v>12</v>
      </c>
      <c r="O255" s="78">
        <f>INDEX(卡牌图鉴!$K$2:$K$53,MATCH(monster!C255,卡牌图鉴!$C$2:$C$53,0))</f>
        <v>5</v>
      </c>
    </row>
    <row r="256" spans="1:15" x14ac:dyDescent="0.15">
      <c r="A256" s="31">
        <v>1117</v>
      </c>
      <c r="B256" s="31" t="s">
        <v>1448</v>
      </c>
      <c r="C256" s="31">
        <v>1116</v>
      </c>
      <c r="D256" s="15">
        <f>INDEX(卡牌图鉴!$S$2:$S$53,MATCH(monster!C256,卡牌图鉴!$C$2:$C$53,0))</f>
        <v>3</v>
      </c>
      <c r="E256" s="31">
        <v>1</v>
      </c>
      <c r="F256" s="15">
        <f>INT(INDEX(卡牌图鉴!$AB$2:$AB$53,MATCH(monster!C256,卡牌图鉴!$C$2:$C$57,0)) * INDEX(数值规划表!$B$61:$B$71,monster!E256+1) * 血量调整)</f>
        <v>203</v>
      </c>
      <c r="G256" s="15">
        <f>ROUND(INDEX(卡牌图鉴!$AB$2:$AB$53,MATCH(monster!C256,卡牌图鉴!$C$2:$C$57,0)) * INDEX(数值规划表!$D$61:$D$71,monster!E256+1)*血量调整,2)</f>
        <v>6.11</v>
      </c>
      <c r="H256" s="15">
        <f>ROUND(INDEX(卡牌图鉴!$AA$2:$AA$53,MATCH(monster!C256,卡牌图鉴!$C$2:$C$53,0)) * INDEX(数值规划表!$C$61:$C$71,monster!E256+1),2)</f>
        <v>40.98</v>
      </c>
      <c r="I256" s="15">
        <f>ROUND(INDEX(卡牌图鉴!$AA$2:$AA$53,MATCH(monster!C256,卡牌图鉴!$C$2:$C$53,0)) * INDEX(数值规划表!$E$61:$E$71,monster!E256+1),2)</f>
        <v>1.23</v>
      </c>
      <c r="J256" s="15">
        <f>INDEX(卡牌图鉴!$J$2:$J$53,MATCH(monster!C256,卡牌图鉴!$C$2:$C$53,0))</f>
        <v>1.2</v>
      </c>
      <c r="K256" s="15">
        <f>INDEX(卡牌图鉴!$S$2:$S$53,MATCH(monster!C256,卡牌图鉴!$C$2:$C$53,0))</f>
        <v>3</v>
      </c>
      <c r="L256" s="15">
        <f>INDEX(卡牌图鉴!$H$2:$H$53,MATCH(monster!C256,卡牌图鉴!$C$2:$C$53,0))</f>
        <v>3.3</v>
      </c>
      <c r="M256" s="15">
        <f>INDEX(卡牌图鉴!$L$2:$L$53,MATCH(monster!C256,卡牌图鉴!$C$2:$C$53,0))</f>
        <v>3</v>
      </c>
      <c r="N256" s="15">
        <f>INDEX(卡牌图鉴!$AD$2:$AD$53,MATCH(monster!C256,卡牌图鉴!$C$2:$C$53,0))</f>
        <v>12</v>
      </c>
      <c r="O256" s="78">
        <f>INDEX(卡牌图鉴!$K$2:$K$53,MATCH(monster!C256,卡牌图鉴!$C$2:$C$53,0))</f>
        <v>5</v>
      </c>
    </row>
    <row r="257" spans="1:15" x14ac:dyDescent="0.15">
      <c r="A257" s="31">
        <v>1118</v>
      </c>
      <c r="B257" s="31" t="s">
        <v>241</v>
      </c>
      <c r="C257" s="31">
        <v>1116</v>
      </c>
      <c r="D257" s="15">
        <f>INDEX(卡牌图鉴!$S$2:$S$53,MATCH(monster!C257,卡牌图鉴!$C$2:$C$53,0))</f>
        <v>3</v>
      </c>
      <c r="E257" s="31">
        <v>2</v>
      </c>
      <c r="F257" s="15">
        <f>INT(INDEX(卡牌图鉴!$AB$2:$AB$53,MATCH(monster!C257,卡牌图鉴!$C$2:$C$57,0)) * INDEX(数值规划表!$B$61:$B$71,monster!E257+1) * 血量调整)</f>
        <v>228</v>
      </c>
      <c r="G257" s="15">
        <f>ROUND(INDEX(卡牌图鉴!$AB$2:$AB$53,MATCH(monster!C257,卡牌图鉴!$C$2:$C$57,0)) * INDEX(数值规划表!$D$61:$D$71,monster!E257+1)*血量调整,2)</f>
        <v>6.84</v>
      </c>
      <c r="H257" s="15">
        <f>ROUND(INDEX(卡牌图鉴!$AA$2:$AA$53,MATCH(monster!C257,卡牌图鉴!$C$2:$C$53,0)) * INDEX(数值规划表!$C$61:$C$71,monster!E257+1),2)</f>
        <v>45.9</v>
      </c>
      <c r="I257" s="15">
        <f>ROUND(INDEX(卡牌图鉴!$AA$2:$AA$53,MATCH(monster!C257,卡牌图鉴!$C$2:$C$53,0)) * INDEX(数值规划表!$E$61:$E$71,monster!E257+1),2)</f>
        <v>1.38</v>
      </c>
      <c r="J257" s="15">
        <f>INDEX(卡牌图鉴!$J$2:$J$53,MATCH(monster!C257,卡牌图鉴!$C$2:$C$53,0))</f>
        <v>1.2</v>
      </c>
      <c r="K257" s="15">
        <f>INDEX(卡牌图鉴!$S$2:$S$53,MATCH(monster!C257,卡牌图鉴!$C$2:$C$53,0))</f>
        <v>3</v>
      </c>
      <c r="L257" s="15">
        <f>INDEX(卡牌图鉴!$H$2:$H$53,MATCH(monster!C257,卡牌图鉴!$C$2:$C$53,0))</f>
        <v>3.3</v>
      </c>
      <c r="M257" s="15">
        <f>INDEX(卡牌图鉴!$L$2:$L$53,MATCH(monster!C257,卡牌图鉴!$C$2:$C$53,0))</f>
        <v>3</v>
      </c>
      <c r="N257" s="15">
        <f>INDEX(卡牌图鉴!$AD$2:$AD$53,MATCH(monster!C257,卡牌图鉴!$C$2:$C$53,0))</f>
        <v>12</v>
      </c>
      <c r="O257" s="78">
        <f>INDEX(卡牌图鉴!$K$2:$K$53,MATCH(monster!C257,卡牌图鉴!$C$2:$C$53,0))</f>
        <v>5</v>
      </c>
    </row>
    <row r="258" spans="1:15" x14ac:dyDescent="0.15">
      <c r="A258" s="31">
        <v>1119</v>
      </c>
      <c r="B258" s="31" t="s">
        <v>242</v>
      </c>
      <c r="C258" s="31">
        <v>1116</v>
      </c>
      <c r="D258" s="15">
        <f>INDEX(卡牌图鉴!$S$2:$S$53,MATCH(monster!C258,卡牌图鉴!$C$2:$C$53,0))</f>
        <v>3</v>
      </c>
      <c r="E258" s="31">
        <v>3</v>
      </c>
      <c r="F258" s="15">
        <f>INT(INDEX(卡牌图鉴!$AB$2:$AB$53,MATCH(monster!C258,卡牌图鉴!$C$2:$C$57,0)) * INDEX(数值规划表!$B$61:$B$71,monster!E258+1) * 血量调整)</f>
        <v>255</v>
      </c>
      <c r="G258" s="15">
        <f>ROUND(INDEX(卡牌图鉴!$AB$2:$AB$53,MATCH(monster!C258,卡牌图鉴!$C$2:$C$57,0)) * INDEX(数值规划表!$D$61:$D$71,monster!E258+1)*血量调整,2)</f>
        <v>7.66</v>
      </c>
      <c r="H258" s="15">
        <f>ROUND(INDEX(卡牌图鉴!$AA$2:$AA$53,MATCH(monster!C258,卡牌图鉴!$C$2:$C$53,0)) * INDEX(数值规划表!$C$61:$C$71,monster!E258+1),2)</f>
        <v>51.41</v>
      </c>
      <c r="I258" s="15">
        <f>ROUND(INDEX(卡牌图鉴!$AA$2:$AA$53,MATCH(monster!C258,卡牌图鉴!$C$2:$C$53,0)) * INDEX(数值规划表!$E$61:$E$71,monster!E258+1),2)</f>
        <v>1.54</v>
      </c>
      <c r="J258" s="15">
        <f>INDEX(卡牌图鉴!$J$2:$J$53,MATCH(monster!C258,卡牌图鉴!$C$2:$C$53,0))</f>
        <v>1.2</v>
      </c>
      <c r="K258" s="15">
        <f>INDEX(卡牌图鉴!$S$2:$S$53,MATCH(monster!C258,卡牌图鉴!$C$2:$C$53,0))</f>
        <v>3</v>
      </c>
      <c r="L258" s="15">
        <f>INDEX(卡牌图鉴!$H$2:$H$53,MATCH(monster!C258,卡牌图鉴!$C$2:$C$53,0))</f>
        <v>3.3</v>
      </c>
      <c r="M258" s="15">
        <f>INDEX(卡牌图鉴!$L$2:$L$53,MATCH(monster!C258,卡牌图鉴!$C$2:$C$53,0))</f>
        <v>3</v>
      </c>
      <c r="N258" s="15">
        <f>INDEX(卡牌图鉴!$AD$2:$AD$53,MATCH(monster!C258,卡牌图鉴!$C$2:$C$53,0))</f>
        <v>12</v>
      </c>
      <c r="O258" s="78">
        <f>INDEX(卡牌图鉴!$K$2:$K$53,MATCH(monster!C258,卡牌图鉴!$C$2:$C$53,0))</f>
        <v>5</v>
      </c>
    </row>
    <row r="259" spans="1:15" x14ac:dyDescent="0.15">
      <c r="A259" s="31">
        <v>1120</v>
      </c>
      <c r="B259" s="31" t="s">
        <v>243</v>
      </c>
      <c r="C259" s="31">
        <v>1116</v>
      </c>
      <c r="D259" s="15">
        <f>INDEX(卡牌图鉴!$S$2:$S$53,MATCH(monster!C259,卡牌图鉴!$C$2:$C$53,0))</f>
        <v>3</v>
      </c>
      <c r="E259" s="31">
        <v>4</v>
      </c>
      <c r="F259" s="15">
        <f>INT(INDEX(卡牌图鉴!$AB$2:$AB$53,MATCH(monster!C259,卡牌图鉴!$C$2:$C$57,0)) * INDEX(数值规划表!$B$61:$B$71,monster!E259+1) * 血量调整)</f>
        <v>286</v>
      </c>
      <c r="G259" s="15">
        <f>ROUND(INDEX(卡牌图鉴!$AB$2:$AB$53,MATCH(monster!C259,卡牌图鉴!$C$2:$C$57,0)) * INDEX(数值规划表!$D$61:$D$71,monster!E259+1)*血量调整,2)</f>
        <v>8.58</v>
      </c>
      <c r="H259" s="15">
        <f>ROUND(INDEX(卡牌图鉴!$AA$2:$AA$53,MATCH(monster!C259,卡牌图鉴!$C$2:$C$53,0)) * INDEX(数值规划表!$C$61:$C$71,monster!E259+1),2)</f>
        <v>57.58</v>
      </c>
      <c r="I259" s="15">
        <f>ROUND(INDEX(卡牌图鉴!$AA$2:$AA$53,MATCH(monster!C259,卡牌图鉴!$C$2:$C$53,0)) * INDEX(数值规划表!$E$61:$E$71,monster!E259+1),2)</f>
        <v>1.73</v>
      </c>
      <c r="J259" s="15">
        <f>INDEX(卡牌图鉴!$J$2:$J$53,MATCH(monster!C259,卡牌图鉴!$C$2:$C$53,0))</f>
        <v>1.2</v>
      </c>
      <c r="K259" s="15">
        <f>INDEX(卡牌图鉴!$S$2:$S$53,MATCH(monster!C259,卡牌图鉴!$C$2:$C$53,0))</f>
        <v>3</v>
      </c>
      <c r="L259" s="15">
        <f>INDEX(卡牌图鉴!$H$2:$H$53,MATCH(monster!C259,卡牌图鉴!$C$2:$C$53,0))</f>
        <v>3.3</v>
      </c>
      <c r="M259" s="15">
        <f>INDEX(卡牌图鉴!$L$2:$L$53,MATCH(monster!C259,卡牌图鉴!$C$2:$C$53,0))</f>
        <v>3</v>
      </c>
      <c r="N259" s="15">
        <f>INDEX(卡牌图鉴!$AD$2:$AD$53,MATCH(monster!C259,卡牌图鉴!$C$2:$C$53,0))</f>
        <v>12</v>
      </c>
      <c r="O259" s="78">
        <f>INDEX(卡牌图鉴!$K$2:$K$53,MATCH(monster!C259,卡牌图鉴!$C$2:$C$53,0))</f>
        <v>5</v>
      </c>
    </row>
    <row r="260" spans="1:15" x14ac:dyDescent="0.15">
      <c r="A260" s="31">
        <v>1121</v>
      </c>
      <c r="B260" s="31" t="s">
        <v>244</v>
      </c>
      <c r="C260" s="31">
        <v>1116</v>
      </c>
      <c r="D260" s="15">
        <f>INDEX(卡牌图鉴!$S$2:$S$53,MATCH(monster!C260,卡牌图鉴!$C$2:$C$53,0))</f>
        <v>3</v>
      </c>
      <c r="E260" s="31">
        <v>5</v>
      </c>
      <c r="F260" s="15">
        <f>INT(INDEX(卡牌图鉴!$AB$2:$AB$53,MATCH(monster!C260,卡牌图鉴!$C$2:$C$57,0)) * INDEX(数值规划表!$B$61:$B$71,monster!E260+1) * 血量调整)</f>
        <v>320</v>
      </c>
      <c r="G260" s="15">
        <f>ROUND(INDEX(卡牌图鉴!$AB$2:$AB$53,MATCH(monster!C260,卡牌图鉴!$C$2:$C$57,0)) * INDEX(数值规划表!$D$61:$D$71,monster!E260+1)*血量调整,2)</f>
        <v>9.61</v>
      </c>
      <c r="H260" s="15">
        <f>ROUND(INDEX(卡牌图鉴!$AA$2:$AA$53,MATCH(monster!C260,卡牌图鉴!$C$2:$C$53,0)) * INDEX(数值规划表!$C$61:$C$71,monster!E260+1),2)</f>
        <v>64.48</v>
      </c>
      <c r="I260" s="15">
        <f>ROUND(INDEX(卡牌图鉴!$AA$2:$AA$53,MATCH(monster!C260,卡牌图鉴!$C$2:$C$53,0)) * INDEX(数值规划表!$E$61:$E$71,monster!E260+1),2)</f>
        <v>1.93</v>
      </c>
      <c r="J260" s="15">
        <f>INDEX(卡牌图鉴!$J$2:$J$53,MATCH(monster!C260,卡牌图鉴!$C$2:$C$53,0))</f>
        <v>1.2</v>
      </c>
      <c r="K260" s="15">
        <f>INDEX(卡牌图鉴!$S$2:$S$53,MATCH(monster!C260,卡牌图鉴!$C$2:$C$53,0))</f>
        <v>3</v>
      </c>
      <c r="L260" s="15">
        <f>INDEX(卡牌图鉴!$H$2:$H$53,MATCH(monster!C260,卡牌图鉴!$C$2:$C$53,0))</f>
        <v>3.3</v>
      </c>
      <c r="M260" s="15">
        <f>INDEX(卡牌图鉴!$L$2:$L$53,MATCH(monster!C260,卡牌图鉴!$C$2:$C$53,0))</f>
        <v>3</v>
      </c>
      <c r="N260" s="15">
        <f>INDEX(卡牌图鉴!$AD$2:$AD$53,MATCH(monster!C260,卡牌图鉴!$C$2:$C$53,0))</f>
        <v>12</v>
      </c>
      <c r="O260" s="78">
        <f>INDEX(卡牌图鉴!$K$2:$K$53,MATCH(monster!C260,卡牌图鉴!$C$2:$C$53,0))</f>
        <v>5</v>
      </c>
    </row>
    <row r="261" spans="1:15" x14ac:dyDescent="0.15">
      <c r="A261" s="31">
        <v>1122</v>
      </c>
      <c r="B261" s="31" t="s">
        <v>245</v>
      </c>
      <c r="C261" s="31">
        <v>1116</v>
      </c>
      <c r="D261" s="15">
        <f>INDEX(卡牌图鉴!$S$2:$S$53,MATCH(monster!C261,卡牌图鉴!$C$2:$C$53,0))</f>
        <v>3</v>
      </c>
      <c r="E261" s="31">
        <v>6</v>
      </c>
      <c r="F261" s="15">
        <f>INT(INDEX(卡牌图鉴!$AB$2:$AB$53,MATCH(monster!C261,卡牌图鉴!$C$2:$C$57,0)) * INDEX(数值规划表!$B$61:$B$71,monster!E261+1) * 血量调整)</f>
        <v>358</v>
      </c>
      <c r="G261" s="15">
        <f>ROUND(INDEX(卡牌图鉴!$AB$2:$AB$53,MATCH(monster!C261,卡牌图鉴!$C$2:$C$57,0)) * INDEX(数值规划表!$D$61:$D$71,monster!E261+1)*血量调整,2)</f>
        <v>10.77</v>
      </c>
      <c r="H261" s="15">
        <f>ROUND(INDEX(卡牌图鉴!$AA$2:$AA$53,MATCH(monster!C261,卡牌图鉴!$C$2:$C$53,0)) * INDEX(数值规划表!$C$61:$C$71,monster!E261+1),2)</f>
        <v>72.22</v>
      </c>
      <c r="I261" s="15">
        <f>ROUND(INDEX(卡牌图鉴!$AA$2:$AA$53,MATCH(monster!C261,卡牌图鉴!$C$2:$C$53,0)) * INDEX(数值规划表!$E$61:$E$71,monster!E261+1),2)</f>
        <v>2.17</v>
      </c>
      <c r="J261" s="15">
        <f>INDEX(卡牌图鉴!$J$2:$J$53,MATCH(monster!C261,卡牌图鉴!$C$2:$C$53,0))</f>
        <v>1.2</v>
      </c>
      <c r="K261" s="15">
        <f>INDEX(卡牌图鉴!$S$2:$S$53,MATCH(monster!C261,卡牌图鉴!$C$2:$C$53,0))</f>
        <v>3</v>
      </c>
      <c r="L261" s="15">
        <f>INDEX(卡牌图鉴!$H$2:$H$53,MATCH(monster!C261,卡牌图鉴!$C$2:$C$53,0))</f>
        <v>3.3</v>
      </c>
      <c r="M261" s="15">
        <f>INDEX(卡牌图鉴!$L$2:$L$53,MATCH(monster!C261,卡牌图鉴!$C$2:$C$53,0))</f>
        <v>3</v>
      </c>
      <c r="N261" s="15">
        <f>INDEX(卡牌图鉴!$AD$2:$AD$53,MATCH(monster!C261,卡牌图鉴!$C$2:$C$53,0))</f>
        <v>12</v>
      </c>
      <c r="O261" s="78">
        <f>INDEX(卡牌图鉴!$K$2:$K$53,MATCH(monster!C261,卡牌图鉴!$C$2:$C$53,0))</f>
        <v>5</v>
      </c>
    </row>
    <row r="262" spans="1:15" x14ac:dyDescent="0.15">
      <c r="A262" s="31">
        <v>1123</v>
      </c>
      <c r="B262" s="31" t="s">
        <v>246</v>
      </c>
      <c r="C262" s="31">
        <v>1116</v>
      </c>
      <c r="D262" s="15">
        <f>INDEX(卡牌图鉴!$S$2:$S$53,MATCH(monster!C262,卡牌图鉴!$C$2:$C$53,0))</f>
        <v>3</v>
      </c>
      <c r="E262" s="31">
        <v>7</v>
      </c>
      <c r="F262" s="15">
        <f>INT(INDEX(卡牌图鉴!$AB$2:$AB$53,MATCH(monster!C262,卡牌图鉴!$C$2:$C$57,0)) * INDEX(数值规划表!$B$61:$B$71,monster!E262+1) * 血量调整)</f>
        <v>401</v>
      </c>
      <c r="G262" s="15">
        <f>ROUND(INDEX(卡牌图鉴!$AB$2:$AB$53,MATCH(monster!C262,卡牌图鉴!$C$2:$C$57,0)) * INDEX(数值规划表!$D$61:$D$71,monster!E262+1)*血量调整,2)</f>
        <v>12.06</v>
      </c>
      <c r="H262" s="15">
        <f>ROUND(INDEX(卡牌图鉴!$AA$2:$AA$53,MATCH(monster!C262,卡牌图鉴!$C$2:$C$53,0)) * INDEX(数值规划表!$C$61:$C$71,monster!E262+1),2)</f>
        <v>80.89</v>
      </c>
      <c r="I262" s="15">
        <f>ROUND(INDEX(卡牌图鉴!$AA$2:$AA$53,MATCH(monster!C262,卡牌图鉴!$C$2:$C$53,0)) * INDEX(数值规划表!$E$61:$E$71,monster!E262+1),2)</f>
        <v>2.4300000000000002</v>
      </c>
      <c r="J262" s="15">
        <f>INDEX(卡牌图鉴!$J$2:$J$53,MATCH(monster!C262,卡牌图鉴!$C$2:$C$53,0))</f>
        <v>1.2</v>
      </c>
      <c r="K262" s="15">
        <f>INDEX(卡牌图鉴!$S$2:$S$53,MATCH(monster!C262,卡牌图鉴!$C$2:$C$53,0))</f>
        <v>3</v>
      </c>
      <c r="L262" s="15">
        <f>INDEX(卡牌图鉴!$H$2:$H$53,MATCH(monster!C262,卡牌图鉴!$C$2:$C$53,0))</f>
        <v>3.3</v>
      </c>
      <c r="M262" s="15">
        <f>INDEX(卡牌图鉴!$L$2:$L$53,MATCH(monster!C262,卡牌图鉴!$C$2:$C$53,0))</f>
        <v>3</v>
      </c>
      <c r="N262" s="15">
        <f>INDEX(卡牌图鉴!$AD$2:$AD$53,MATCH(monster!C262,卡牌图鉴!$C$2:$C$53,0))</f>
        <v>12</v>
      </c>
      <c r="O262" s="78">
        <f>INDEX(卡牌图鉴!$K$2:$K$53,MATCH(monster!C262,卡牌图鉴!$C$2:$C$53,0))</f>
        <v>5</v>
      </c>
    </row>
    <row r="263" spans="1:15" x14ac:dyDescent="0.15">
      <c r="A263" s="31">
        <v>1124</v>
      </c>
      <c r="B263" s="31" t="s">
        <v>247</v>
      </c>
      <c r="C263" s="31">
        <v>1116</v>
      </c>
      <c r="D263" s="15">
        <f>INDEX(卡牌图鉴!$S$2:$S$53,MATCH(monster!C263,卡牌图鉴!$C$2:$C$53,0))</f>
        <v>3</v>
      </c>
      <c r="E263" s="31">
        <v>8</v>
      </c>
      <c r="F263" s="15">
        <f>INT(INDEX(卡牌图鉴!$AB$2:$AB$53,MATCH(monster!C263,卡牌图鉴!$C$2:$C$57,0)) * INDEX(数值规划表!$B$61:$B$71,monster!E263+1) * 血量调整)</f>
        <v>450</v>
      </c>
      <c r="G263" s="15">
        <f>ROUND(INDEX(卡牌图鉴!$AB$2:$AB$53,MATCH(monster!C263,卡牌图鉴!$C$2:$C$57,0)) * INDEX(数值规划表!$D$61:$D$71,monster!E263+1)*血量调整,2)</f>
        <v>13.5</v>
      </c>
      <c r="H263" s="15">
        <f>ROUND(INDEX(卡牌图鉴!$AA$2:$AA$53,MATCH(monster!C263,卡牌图鉴!$C$2:$C$53,0)) * INDEX(数值规划表!$C$61:$C$71,monster!E263+1),2)</f>
        <v>90.6</v>
      </c>
      <c r="I263" s="15">
        <f>ROUND(INDEX(卡牌图鉴!$AA$2:$AA$53,MATCH(monster!C263,卡牌图鉴!$C$2:$C$53,0)) * INDEX(数值规划表!$E$61:$E$71,monster!E263+1),2)</f>
        <v>2.72</v>
      </c>
      <c r="J263" s="15">
        <f>INDEX(卡牌图鉴!$J$2:$J$53,MATCH(monster!C263,卡牌图鉴!$C$2:$C$53,0))</f>
        <v>1.2</v>
      </c>
      <c r="K263" s="15">
        <f>INDEX(卡牌图鉴!$S$2:$S$53,MATCH(monster!C263,卡牌图鉴!$C$2:$C$53,0))</f>
        <v>3</v>
      </c>
      <c r="L263" s="15">
        <f>INDEX(卡牌图鉴!$H$2:$H$53,MATCH(monster!C263,卡牌图鉴!$C$2:$C$53,0))</f>
        <v>3.3</v>
      </c>
      <c r="M263" s="15">
        <f>INDEX(卡牌图鉴!$L$2:$L$53,MATCH(monster!C263,卡牌图鉴!$C$2:$C$53,0))</f>
        <v>3</v>
      </c>
      <c r="N263" s="15">
        <f>INDEX(卡牌图鉴!$AD$2:$AD$53,MATCH(monster!C263,卡牌图鉴!$C$2:$C$53,0))</f>
        <v>12</v>
      </c>
      <c r="O263" s="78">
        <f>INDEX(卡牌图鉴!$K$2:$K$53,MATCH(monster!C263,卡牌图鉴!$C$2:$C$53,0))</f>
        <v>5</v>
      </c>
    </row>
    <row r="264" spans="1:15" x14ac:dyDescent="0.15">
      <c r="A264" s="31">
        <v>1125</v>
      </c>
      <c r="B264" s="31" t="s">
        <v>248</v>
      </c>
      <c r="C264" s="31">
        <v>1116</v>
      </c>
      <c r="D264" s="15">
        <f>INDEX(卡牌图鉴!$S$2:$S$53,MATCH(monster!C264,卡牌图鉴!$C$2:$C$53,0))</f>
        <v>3</v>
      </c>
      <c r="E264" s="31">
        <v>9</v>
      </c>
      <c r="F264" s="15">
        <f>INT(INDEX(卡牌图鉴!$AB$2:$AB$53,MATCH(monster!C264,卡牌图鉴!$C$2:$C$57,0)) * INDEX(数值规划表!$B$61:$B$71,monster!E264+1) * 血量调整)</f>
        <v>504</v>
      </c>
      <c r="G264" s="15">
        <f>ROUND(INDEX(卡牌图鉴!$AB$2:$AB$53,MATCH(monster!C264,卡牌图鉴!$C$2:$C$57,0)) * INDEX(数值规划表!$D$61:$D$71,monster!E264+1)*血量调整,2)</f>
        <v>15.12</v>
      </c>
      <c r="H264" s="15">
        <f>ROUND(INDEX(卡牌图鉴!$AA$2:$AA$53,MATCH(monster!C264,卡牌图鉴!$C$2:$C$53,0)) * INDEX(数值规划表!$C$61:$C$71,monster!E264+1),2)</f>
        <v>101.47</v>
      </c>
      <c r="I264" s="15">
        <f>ROUND(INDEX(卡牌图鉴!$AA$2:$AA$53,MATCH(monster!C264,卡牌图鉴!$C$2:$C$53,0)) * INDEX(数值规划表!$E$61:$E$71,monster!E264+1),2)</f>
        <v>3.04</v>
      </c>
      <c r="J264" s="15">
        <f>INDEX(卡牌图鉴!$J$2:$J$53,MATCH(monster!C264,卡牌图鉴!$C$2:$C$53,0))</f>
        <v>1.2</v>
      </c>
      <c r="K264" s="15">
        <f>INDEX(卡牌图鉴!$S$2:$S$53,MATCH(monster!C264,卡牌图鉴!$C$2:$C$53,0))</f>
        <v>3</v>
      </c>
      <c r="L264" s="15">
        <f>INDEX(卡牌图鉴!$H$2:$H$53,MATCH(monster!C264,卡牌图鉴!$C$2:$C$53,0))</f>
        <v>3.3</v>
      </c>
      <c r="M264" s="15">
        <f>INDEX(卡牌图鉴!$L$2:$L$53,MATCH(monster!C264,卡牌图鉴!$C$2:$C$53,0))</f>
        <v>3</v>
      </c>
      <c r="N264" s="15">
        <f>INDEX(卡牌图鉴!$AD$2:$AD$53,MATCH(monster!C264,卡牌图鉴!$C$2:$C$53,0))</f>
        <v>12</v>
      </c>
      <c r="O264" s="78">
        <f>INDEX(卡牌图鉴!$K$2:$K$53,MATCH(monster!C264,卡牌图鉴!$C$2:$C$53,0))</f>
        <v>5</v>
      </c>
    </row>
    <row r="265" spans="1:15" x14ac:dyDescent="0.15">
      <c r="A265" s="31">
        <v>1126</v>
      </c>
      <c r="B265" s="31" t="s">
        <v>249</v>
      </c>
      <c r="C265" s="31">
        <v>1116</v>
      </c>
      <c r="D265" s="15">
        <f>INDEX(卡牌图鉴!$S$2:$S$53,MATCH(monster!C265,卡牌图鉴!$C$2:$C$53,0))</f>
        <v>3</v>
      </c>
      <c r="E265" s="31">
        <v>10</v>
      </c>
      <c r="F265" s="15">
        <f>INT(INDEX(卡牌图鉴!$AB$2:$AB$53,MATCH(monster!C265,卡牌图鉴!$C$2:$C$57,0)) * INDEX(数值规划表!$B$61:$B$71,monster!E265+1) * 血量调整)</f>
        <v>564</v>
      </c>
      <c r="G265" s="15">
        <f>ROUND(INDEX(卡牌图鉴!$AB$2:$AB$53,MATCH(monster!C265,卡牌图鉴!$C$2:$C$57,0)) * INDEX(数值规划表!$D$61:$D$71,monster!E265+1)*血量调整,2)</f>
        <v>16.940000000000001</v>
      </c>
      <c r="H265" s="15">
        <f>ROUND(INDEX(卡牌图鉴!$AA$2:$AA$53,MATCH(monster!C265,卡牌图鉴!$C$2:$C$53,0)) * INDEX(数值规划表!$C$61:$C$71,monster!E265+1),2)</f>
        <v>113.64</v>
      </c>
      <c r="I265" s="15">
        <f>ROUND(INDEX(卡牌图鉴!$AA$2:$AA$53,MATCH(monster!C265,卡牌图鉴!$C$2:$C$53,0)) * INDEX(数值规划表!$E$61:$E$71,monster!E265+1),2)</f>
        <v>3.41</v>
      </c>
      <c r="J265" s="15">
        <f>INDEX(卡牌图鉴!$J$2:$J$53,MATCH(monster!C265,卡牌图鉴!$C$2:$C$53,0))</f>
        <v>1.2</v>
      </c>
      <c r="K265" s="15">
        <f>INDEX(卡牌图鉴!$S$2:$S$53,MATCH(monster!C265,卡牌图鉴!$C$2:$C$53,0))</f>
        <v>3</v>
      </c>
      <c r="L265" s="15">
        <f>INDEX(卡牌图鉴!$H$2:$H$53,MATCH(monster!C265,卡牌图鉴!$C$2:$C$53,0))</f>
        <v>3.3</v>
      </c>
      <c r="M265" s="15">
        <f>INDEX(卡牌图鉴!$L$2:$L$53,MATCH(monster!C265,卡牌图鉴!$C$2:$C$53,0))</f>
        <v>3</v>
      </c>
      <c r="N265" s="15">
        <f>INDEX(卡牌图鉴!$AD$2:$AD$53,MATCH(monster!C265,卡牌图鉴!$C$2:$C$53,0))</f>
        <v>12</v>
      </c>
      <c r="O265" s="78">
        <f>INDEX(卡牌图鉴!$K$2:$K$53,MATCH(monster!C265,卡牌图鉴!$C$2:$C$53,0))</f>
        <v>5</v>
      </c>
    </row>
    <row r="266" spans="1:15" x14ac:dyDescent="0.15">
      <c r="A266" s="31">
        <v>1351</v>
      </c>
      <c r="B266" s="31" t="s">
        <v>413</v>
      </c>
      <c r="C266" s="31">
        <v>1351</v>
      </c>
      <c r="D266" s="15">
        <f>INDEX(卡牌图鉴!$S$2:$S$53,MATCH(monster!C266,卡牌图鉴!$C$2:$C$53,0))</f>
        <v>3</v>
      </c>
      <c r="E266" s="31">
        <v>0</v>
      </c>
      <c r="F266" s="15">
        <f>INT(INDEX(卡牌图鉴!$AB$2:$AB$53,MATCH(monster!C266,卡牌图鉴!$C$2:$C$57,0)) * INDEX(数值规划表!$B$61:$B$71,monster!E266+1) * 血量调整)</f>
        <v>1301</v>
      </c>
      <c r="G266" s="15">
        <f>ROUND(INDEX(卡牌图鉴!$AB$2:$AB$53,MATCH(monster!C266,卡牌图鉴!$C$2:$C$57,0)) * INDEX(数值规划表!$D$61:$D$71,monster!E266+1)*血量调整,2)</f>
        <v>39.04</v>
      </c>
      <c r="H266" s="15">
        <f>ROUND(INDEX(卡牌图鉴!$AA$2:$AA$53,MATCH(monster!C266,卡牌图鉴!$C$2:$C$53,0)) * INDEX(数值规划表!$C$61:$C$71,monster!E266+1),2)</f>
        <v>39.58</v>
      </c>
      <c r="I266" s="15">
        <f>ROUND(INDEX(卡牌图鉴!$AA$2:$AA$53,MATCH(monster!C266,卡牌图鉴!$C$2:$C$53,0)) * INDEX(数值规划表!$E$61:$E$71,monster!E266+1),2)</f>
        <v>1.19</v>
      </c>
      <c r="J266" s="15">
        <f>INDEX(卡牌图鉴!$J$2:$J$53,MATCH(monster!C266,卡牌图鉴!$C$2:$C$53,0))</f>
        <v>1.2</v>
      </c>
      <c r="K266" s="15">
        <f>INDEX(卡牌图鉴!$S$2:$S$53,MATCH(monster!C266,卡牌图鉴!$C$2:$C$53,0))</f>
        <v>3</v>
      </c>
      <c r="L266" s="15">
        <f>INDEX(卡牌图鉴!$H$2:$H$53,MATCH(monster!C266,卡牌图鉴!$C$2:$C$53,0))</f>
        <v>1.4</v>
      </c>
      <c r="M266" s="15">
        <f>INDEX(卡牌图鉴!$L$2:$L$53,MATCH(monster!C266,卡牌图鉴!$C$2:$C$53,0))</f>
        <v>7</v>
      </c>
      <c r="N266" s="15">
        <f>INDEX(卡牌图鉴!$AD$2:$AD$53,MATCH(monster!C266,卡牌图鉴!$C$2:$C$53,0))</f>
        <v>8</v>
      </c>
      <c r="O266" s="78">
        <f>INDEX(卡牌图鉴!$K$2:$K$53,MATCH(monster!C266,卡牌图鉴!$C$2:$C$53,0))</f>
        <v>7</v>
      </c>
    </row>
    <row r="267" spans="1:15" x14ac:dyDescent="0.15">
      <c r="A267" s="31">
        <v>1352</v>
      </c>
      <c r="B267" s="31" t="s">
        <v>414</v>
      </c>
      <c r="C267" s="31">
        <v>1351</v>
      </c>
      <c r="D267" s="15">
        <f>INDEX(卡牌图鉴!$S$2:$S$53,MATCH(monster!C267,卡牌图鉴!$C$2:$C$53,0))</f>
        <v>3</v>
      </c>
      <c r="E267" s="31">
        <v>1</v>
      </c>
      <c r="F267" s="15">
        <f>INT(INDEX(卡牌图鉴!$AB$2:$AB$53,MATCH(monster!C267,卡牌图鉴!$C$2:$C$57,0)) * INDEX(数值规划表!$B$61:$B$71,monster!E267+1) * 血量调整)</f>
        <v>1457</v>
      </c>
      <c r="G267" s="15">
        <f>ROUND(INDEX(卡牌图鉴!$AB$2:$AB$53,MATCH(monster!C267,卡牌图鉴!$C$2:$C$57,0)) * INDEX(数值规划表!$D$61:$D$71,monster!E267+1)*血量调整,2)</f>
        <v>43.72</v>
      </c>
      <c r="H267" s="15">
        <f>ROUND(INDEX(卡牌图鉴!$AA$2:$AA$53,MATCH(monster!C267,卡牌图鉴!$C$2:$C$53,0)) * INDEX(数值规划表!$C$61:$C$71,monster!E267+1),2)</f>
        <v>44.33</v>
      </c>
      <c r="I267" s="15">
        <f>ROUND(INDEX(卡牌图鉴!$AA$2:$AA$53,MATCH(monster!C267,卡牌图鉴!$C$2:$C$53,0)) * INDEX(数值规划表!$E$61:$E$71,monster!E267+1),2)</f>
        <v>1.33</v>
      </c>
      <c r="J267" s="15">
        <f>INDEX(卡牌图鉴!$J$2:$J$53,MATCH(monster!C267,卡牌图鉴!$C$2:$C$53,0))</f>
        <v>1.2</v>
      </c>
      <c r="K267" s="15">
        <f>INDEX(卡牌图鉴!$S$2:$S$53,MATCH(monster!C267,卡牌图鉴!$C$2:$C$53,0))</f>
        <v>3</v>
      </c>
      <c r="L267" s="15">
        <f>INDEX(卡牌图鉴!$H$2:$H$53,MATCH(monster!C267,卡牌图鉴!$C$2:$C$53,0))</f>
        <v>1.4</v>
      </c>
      <c r="M267" s="15">
        <f>INDEX(卡牌图鉴!$L$2:$L$53,MATCH(monster!C267,卡牌图鉴!$C$2:$C$53,0))</f>
        <v>7</v>
      </c>
      <c r="N267" s="15">
        <f>INDEX(卡牌图鉴!$AD$2:$AD$53,MATCH(monster!C267,卡牌图鉴!$C$2:$C$53,0))</f>
        <v>8</v>
      </c>
      <c r="O267" s="78">
        <f>INDEX(卡牌图鉴!$K$2:$K$53,MATCH(monster!C267,卡牌图鉴!$C$2:$C$53,0))</f>
        <v>7</v>
      </c>
    </row>
    <row r="268" spans="1:15" x14ac:dyDescent="0.15">
      <c r="A268" s="31">
        <v>1353</v>
      </c>
      <c r="B268" s="31" t="s">
        <v>415</v>
      </c>
      <c r="C268" s="31">
        <v>1351</v>
      </c>
      <c r="D268" s="15">
        <f>INDEX(卡牌图鉴!$S$2:$S$53,MATCH(monster!C268,卡牌图鉴!$C$2:$C$53,0))</f>
        <v>3</v>
      </c>
      <c r="E268" s="31">
        <v>2</v>
      </c>
      <c r="F268" s="15">
        <f>INT(INDEX(卡牌图鉴!$AB$2:$AB$53,MATCH(monster!C268,卡牌图鉴!$C$2:$C$57,0)) * INDEX(数值规划表!$B$61:$B$71,monster!E268+1) * 血量调整)</f>
        <v>1632</v>
      </c>
      <c r="G268" s="15">
        <f>ROUND(INDEX(卡牌图鉴!$AB$2:$AB$53,MATCH(monster!C268,卡牌图鉴!$C$2:$C$57,0)) * INDEX(数值规划表!$D$61:$D$71,monster!E268+1)*血量调整,2)</f>
        <v>48.97</v>
      </c>
      <c r="H268" s="15">
        <f>ROUND(INDEX(卡牌图鉴!$AA$2:$AA$53,MATCH(monster!C268,卡牌图鉴!$C$2:$C$53,0)) * INDEX(数值规划表!$C$61:$C$71,monster!E268+1),2)</f>
        <v>49.65</v>
      </c>
      <c r="I268" s="15">
        <f>ROUND(INDEX(卡牌图鉴!$AA$2:$AA$53,MATCH(monster!C268,卡牌图鉴!$C$2:$C$53,0)) * INDEX(数值规划表!$E$61:$E$71,monster!E268+1),2)</f>
        <v>1.49</v>
      </c>
      <c r="J268" s="15">
        <f>INDEX(卡牌图鉴!$J$2:$J$53,MATCH(monster!C268,卡牌图鉴!$C$2:$C$53,0))</f>
        <v>1.2</v>
      </c>
      <c r="K268" s="15">
        <f>INDEX(卡牌图鉴!$S$2:$S$53,MATCH(monster!C268,卡牌图鉴!$C$2:$C$53,0))</f>
        <v>3</v>
      </c>
      <c r="L268" s="15">
        <f>INDEX(卡牌图鉴!$H$2:$H$53,MATCH(monster!C268,卡牌图鉴!$C$2:$C$53,0))</f>
        <v>1.4</v>
      </c>
      <c r="M268" s="15">
        <f>INDEX(卡牌图鉴!$L$2:$L$53,MATCH(monster!C268,卡牌图鉴!$C$2:$C$53,0))</f>
        <v>7</v>
      </c>
      <c r="N268" s="15">
        <f>INDEX(卡牌图鉴!$AD$2:$AD$53,MATCH(monster!C268,卡牌图鉴!$C$2:$C$53,0))</f>
        <v>8</v>
      </c>
      <c r="O268" s="78">
        <f>INDEX(卡牌图鉴!$K$2:$K$53,MATCH(monster!C268,卡牌图鉴!$C$2:$C$53,0))</f>
        <v>7</v>
      </c>
    </row>
    <row r="269" spans="1:15" x14ac:dyDescent="0.15">
      <c r="A269" s="31">
        <v>1354</v>
      </c>
      <c r="B269" s="31" t="s">
        <v>416</v>
      </c>
      <c r="C269" s="31">
        <v>1351</v>
      </c>
      <c r="D269" s="15">
        <f>INDEX(卡牌图鉴!$S$2:$S$53,MATCH(monster!C269,卡牌图鉴!$C$2:$C$53,0))</f>
        <v>3</v>
      </c>
      <c r="E269" s="31">
        <v>3</v>
      </c>
      <c r="F269" s="15">
        <f>INT(INDEX(卡牌图鉴!$AB$2:$AB$53,MATCH(monster!C269,卡牌图鉴!$C$2:$C$57,0)) * INDEX(数值规划表!$B$61:$B$71,monster!E269+1) * 血量调整)</f>
        <v>1828</v>
      </c>
      <c r="G269" s="15">
        <f>ROUND(INDEX(卡牌图鉴!$AB$2:$AB$53,MATCH(monster!C269,卡牌图鉴!$C$2:$C$57,0)) * INDEX(数值规划表!$D$61:$D$71,monster!E269+1)*血量调整,2)</f>
        <v>54.84</v>
      </c>
      <c r="H269" s="15">
        <f>ROUND(INDEX(卡牌图鉴!$AA$2:$AA$53,MATCH(monster!C269,卡牌图鉴!$C$2:$C$53,0)) * INDEX(数值规划表!$C$61:$C$71,monster!E269+1),2)</f>
        <v>55.61</v>
      </c>
      <c r="I269" s="15">
        <f>ROUND(INDEX(卡牌图鉴!$AA$2:$AA$53,MATCH(monster!C269,卡牌图鉴!$C$2:$C$53,0)) * INDEX(数值规划表!$E$61:$E$71,monster!E269+1),2)</f>
        <v>1.67</v>
      </c>
      <c r="J269" s="15">
        <f>INDEX(卡牌图鉴!$J$2:$J$53,MATCH(monster!C269,卡牌图鉴!$C$2:$C$53,0))</f>
        <v>1.2</v>
      </c>
      <c r="K269" s="15">
        <f>INDEX(卡牌图鉴!$S$2:$S$53,MATCH(monster!C269,卡牌图鉴!$C$2:$C$53,0))</f>
        <v>3</v>
      </c>
      <c r="L269" s="15">
        <f>INDEX(卡牌图鉴!$H$2:$H$53,MATCH(monster!C269,卡牌图鉴!$C$2:$C$53,0))</f>
        <v>1.4</v>
      </c>
      <c r="M269" s="15">
        <f>INDEX(卡牌图鉴!$L$2:$L$53,MATCH(monster!C269,卡牌图鉴!$C$2:$C$53,0))</f>
        <v>7</v>
      </c>
      <c r="N269" s="15">
        <f>INDEX(卡牌图鉴!$AD$2:$AD$53,MATCH(monster!C269,卡牌图鉴!$C$2:$C$53,0))</f>
        <v>8</v>
      </c>
      <c r="O269" s="78">
        <f>INDEX(卡牌图鉴!$K$2:$K$53,MATCH(monster!C269,卡牌图鉴!$C$2:$C$53,0))</f>
        <v>7</v>
      </c>
    </row>
    <row r="270" spans="1:15" x14ac:dyDescent="0.15">
      <c r="A270" s="31">
        <v>1355</v>
      </c>
      <c r="B270" s="31" t="s">
        <v>417</v>
      </c>
      <c r="C270" s="31">
        <v>1351</v>
      </c>
      <c r="D270" s="15">
        <f>INDEX(卡牌图鉴!$S$2:$S$53,MATCH(monster!C270,卡牌图鉴!$C$2:$C$53,0))</f>
        <v>3</v>
      </c>
      <c r="E270" s="31">
        <v>4</v>
      </c>
      <c r="F270" s="15">
        <f>INT(INDEX(卡牌图鉴!$AB$2:$AB$53,MATCH(monster!C270,卡牌图鉴!$C$2:$C$57,0)) * INDEX(数值规划表!$B$61:$B$71,monster!E270+1) * 血量调整)</f>
        <v>2047</v>
      </c>
      <c r="G270" s="15">
        <f>ROUND(INDEX(卡牌图鉴!$AB$2:$AB$53,MATCH(monster!C270,卡牌图鉴!$C$2:$C$57,0)) * INDEX(数值规划表!$D$61:$D$71,monster!E270+1)*血量调整,2)</f>
        <v>61.43</v>
      </c>
      <c r="H270" s="15">
        <f>ROUND(INDEX(卡牌图鉴!$AA$2:$AA$53,MATCH(monster!C270,卡牌图鉴!$C$2:$C$53,0)) * INDEX(数值规划表!$C$61:$C$71,monster!E270+1),2)</f>
        <v>62.28</v>
      </c>
      <c r="I270" s="15">
        <f>ROUND(INDEX(卡牌图鉴!$AA$2:$AA$53,MATCH(monster!C270,卡牌图鉴!$C$2:$C$53,0)) * INDEX(数值规划表!$E$61:$E$71,monster!E270+1),2)</f>
        <v>1.87</v>
      </c>
      <c r="J270" s="15">
        <f>INDEX(卡牌图鉴!$J$2:$J$53,MATCH(monster!C270,卡牌图鉴!$C$2:$C$53,0))</f>
        <v>1.2</v>
      </c>
      <c r="K270" s="15">
        <f>INDEX(卡牌图鉴!$S$2:$S$53,MATCH(monster!C270,卡牌图鉴!$C$2:$C$53,0))</f>
        <v>3</v>
      </c>
      <c r="L270" s="15">
        <f>INDEX(卡牌图鉴!$H$2:$H$53,MATCH(monster!C270,卡牌图鉴!$C$2:$C$53,0))</f>
        <v>1.4</v>
      </c>
      <c r="M270" s="15">
        <f>INDEX(卡牌图鉴!$L$2:$L$53,MATCH(monster!C270,卡牌图鉴!$C$2:$C$53,0))</f>
        <v>7</v>
      </c>
      <c r="N270" s="15">
        <f>INDEX(卡牌图鉴!$AD$2:$AD$53,MATCH(monster!C270,卡牌图鉴!$C$2:$C$53,0))</f>
        <v>8</v>
      </c>
      <c r="O270" s="78">
        <f>INDEX(卡牌图鉴!$K$2:$K$53,MATCH(monster!C270,卡牌图鉴!$C$2:$C$53,0))</f>
        <v>7</v>
      </c>
    </row>
    <row r="271" spans="1:15" x14ac:dyDescent="0.15">
      <c r="A271" s="31">
        <v>1356</v>
      </c>
      <c r="B271" s="31" t="s">
        <v>418</v>
      </c>
      <c r="C271" s="31">
        <v>1351</v>
      </c>
      <c r="D271" s="15">
        <f>INDEX(卡牌图鉴!$S$2:$S$53,MATCH(monster!C271,卡牌图鉴!$C$2:$C$53,0))</f>
        <v>3</v>
      </c>
      <c r="E271" s="31">
        <v>5</v>
      </c>
      <c r="F271" s="15">
        <f>INT(INDEX(卡牌图鉴!$AB$2:$AB$53,MATCH(monster!C271,卡牌图鉴!$C$2:$C$57,0)) * INDEX(数值规划表!$B$61:$B$71,monster!E271+1) * 血量调整)</f>
        <v>2293</v>
      </c>
      <c r="G271" s="15">
        <f>ROUND(INDEX(卡牌图鉴!$AB$2:$AB$53,MATCH(monster!C271,卡牌图鉴!$C$2:$C$57,0)) * INDEX(数值规划表!$D$61:$D$71,monster!E271+1)*血量调整,2)</f>
        <v>68.8</v>
      </c>
      <c r="H271" s="15">
        <f>ROUND(INDEX(卡牌图鉴!$AA$2:$AA$53,MATCH(monster!C271,卡牌图鉴!$C$2:$C$53,0)) * INDEX(数值规划表!$C$61:$C$71,monster!E271+1),2)</f>
        <v>69.75</v>
      </c>
      <c r="I271" s="15">
        <f>ROUND(INDEX(卡牌图鉴!$AA$2:$AA$53,MATCH(monster!C271,卡牌图鉴!$C$2:$C$53,0)) * INDEX(数值规划表!$E$61:$E$71,monster!E271+1),2)</f>
        <v>2.09</v>
      </c>
      <c r="J271" s="15">
        <f>INDEX(卡牌图鉴!$J$2:$J$53,MATCH(monster!C271,卡牌图鉴!$C$2:$C$53,0))</f>
        <v>1.2</v>
      </c>
      <c r="K271" s="15">
        <f>INDEX(卡牌图鉴!$S$2:$S$53,MATCH(monster!C271,卡牌图鉴!$C$2:$C$53,0))</f>
        <v>3</v>
      </c>
      <c r="L271" s="15">
        <f>INDEX(卡牌图鉴!$H$2:$H$53,MATCH(monster!C271,卡牌图鉴!$C$2:$C$53,0))</f>
        <v>1.4</v>
      </c>
      <c r="M271" s="15">
        <f>INDEX(卡牌图鉴!$L$2:$L$53,MATCH(monster!C271,卡牌图鉴!$C$2:$C$53,0))</f>
        <v>7</v>
      </c>
      <c r="N271" s="15">
        <f>INDEX(卡牌图鉴!$AD$2:$AD$53,MATCH(monster!C271,卡牌图鉴!$C$2:$C$53,0))</f>
        <v>8</v>
      </c>
      <c r="O271" s="78">
        <f>INDEX(卡牌图鉴!$K$2:$K$53,MATCH(monster!C271,卡牌图鉴!$C$2:$C$53,0))</f>
        <v>7</v>
      </c>
    </row>
    <row r="272" spans="1:15" x14ac:dyDescent="0.15">
      <c r="A272" s="31">
        <v>1357</v>
      </c>
      <c r="B272" s="31" t="s">
        <v>419</v>
      </c>
      <c r="C272" s="31">
        <v>1351</v>
      </c>
      <c r="D272" s="15">
        <f>INDEX(卡牌图鉴!$S$2:$S$53,MATCH(monster!C272,卡牌图鉴!$C$2:$C$53,0))</f>
        <v>3</v>
      </c>
      <c r="E272" s="31">
        <v>6</v>
      </c>
      <c r="F272" s="15">
        <f>INT(INDEX(卡牌图鉴!$AB$2:$AB$53,MATCH(monster!C272,卡牌图鉴!$C$2:$C$57,0)) * INDEX(数值规划表!$B$61:$B$71,monster!E272+1) * 血量调整)</f>
        <v>2568</v>
      </c>
      <c r="G272" s="15">
        <f>ROUND(INDEX(卡牌图鉴!$AB$2:$AB$53,MATCH(monster!C272,卡牌图鉴!$C$2:$C$57,0)) * INDEX(数值规划表!$D$61:$D$71,monster!E272+1)*血量调整,2)</f>
        <v>77.05</v>
      </c>
      <c r="H272" s="15">
        <f>ROUND(INDEX(卡牌图鉴!$AA$2:$AA$53,MATCH(monster!C272,卡牌图鉴!$C$2:$C$53,0)) * INDEX(数值规划表!$C$61:$C$71,monster!E272+1),2)</f>
        <v>78.12</v>
      </c>
      <c r="I272" s="15">
        <f>ROUND(INDEX(卡牌图鉴!$AA$2:$AA$53,MATCH(monster!C272,卡牌图鉴!$C$2:$C$53,0)) * INDEX(数值规划表!$E$61:$E$71,monster!E272+1),2)</f>
        <v>2.34</v>
      </c>
      <c r="J272" s="15">
        <f>INDEX(卡牌图鉴!$J$2:$J$53,MATCH(monster!C272,卡牌图鉴!$C$2:$C$53,0))</f>
        <v>1.2</v>
      </c>
      <c r="K272" s="15">
        <f>INDEX(卡牌图鉴!$S$2:$S$53,MATCH(monster!C272,卡牌图鉴!$C$2:$C$53,0))</f>
        <v>3</v>
      </c>
      <c r="L272" s="15">
        <f>INDEX(卡牌图鉴!$H$2:$H$53,MATCH(monster!C272,卡牌图鉴!$C$2:$C$53,0))</f>
        <v>1.4</v>
      </c>
      <c r="M272" s="15">
        <f>INDEX(卡牌图鉴!$L$2:$L$53,MATCH(monster!C272,卡牌图鉴!$C$2:$C$53,0))</f>
        <v>7</v>
      </c>
      <c r="N272" s="15">
        <f>INDEX(卡牌图鉴!$AD$2:$AD$53,MATCH(monster!C272,卡牌图鉴!$C$2:$C$53,0))</f>
        <v>8</v>
      </c>
      <c r="O272" s="78">
        <f>INDEX(卡牌图鉴!$K$2:$K$53,MATCH(monster!C272,卡牌图鉴!$C$2:$C$53,0))</f>
        <v>7</v>
      </c>
    </row>
    <row r="273" spans="1:15" x14ac:dyDescent="0.15">
      <c r="A273" s="31">
        <v>1358</v>
      </c>
      <c r="B273" s="31" t="s">
        <v>420</v>
      </c>
      <c r="C273" s="31">
        <v>1351</v>
      </c>
      <c r="D273" s="15">
        <f>INDEX(卡牌图鉴!$S$2:$S$53,MATCH(monster!C273,卡牌图鉴!$C$2:$C$53,0))</f>
        <v>3</v>
      </c>
      <c r="E273" s="31">
        <v>7</v>
      </c>
      <c r="F273" s="15">
        <f>INT(INDEX(卡牌图鉴!$AB$2:$AB$53,MATCH(monster!C273,卡牌图鉴!$C$2:$C$57,0)) * INDEX(数值规划表!$B$61:$B$71,monster!E273+1) * 血量调整)</f>
        <v>2876</v>
      </c>
      <c r="G273" s="15">
        <f>ROUND(INDEX(卡牌图鉴!$AB$2:$AB$53,MATCH(monster!C273,卡牌图鉴!$C$2:$C$57,0)) * INDEX(数值规划表!$D$61:$D$71,monster!E273+1)*血量调整,2)</f>
        <v>86.3</v>
      </c>
      <c r="H273" s="15">
        <f>ROUND(INDEX(卡牌图鉴!$AA$2:$AA$53,MATCH(monster!C273,卡牌图鉴!$C$2:$C$53,0)) * INDEX(数值规划表!$C$61:$C$71,monster!E273+1),2)</f>
        <v>87.5</v>
      </c>
      <c r="I273" s="15">
        <f>ROUND(INDEX(卡牌图鉴!$AA$2:$AA$53,MATCH(monster!C273,卡牌图鉴!$C$2:$C$53,0)) * INDEX(数值规划表!$E$61:$E$71,monster!E273+1),2)</f>
        <v>2.62</v>
      </c>
      <c r="J273" s="15">
        <f>INDEX(卡牌图鉴!$J$2:$J$53,MATCH(monster!C273,卡牌图鉴!$C$2:$C$53,0))</f>
        <v>1.2</v>
      </c>
      <c r="K273" s="15">
        <f>INDEX(卡牌图鉴!$S$2:$S$53,MATCH(monster!C273,卡牌图鉴!$C$2:$C$53,0))</f>
        <v>3</v>
      </c>
      <c r="L273" s="15">
        <f>INDEX(卡牌图鉴!$H$2:$H$53,MATCH(monster!C273,卡牌图鉴!$C$2:$C$53,0))</f>
        <v>1.4</v>
      </c>
      <c r="M273" s="15">
        <f>INDEX(卡牌图鉴!$L$2:$L$53,MATCH(monster!C273,卡牌图鉴!$C$2:$C$53,0))</f>
        <v>7</v>
      </c>
      <c r="N273" s="15">
        <f>INDEX(卡牌图鉴!$AD$2:$AD$53,MATCH(monster!C273,卡牌图鉴!$C$2:$C$53,0))</f>
        <v>8</v>
      </c>
      <c r="O273" s="78">
        <f>INDEX(卡牌图鉴!$K$2:$K$53,MATCH(monster!C273,卡牌图鉴!$C$2:$C$53,0))</f>
        <v>7</v>
      </c>
    </row>
    <row r="274" spans="1:15" x14ac:dyDescent="0.15">
      <c r="A274" s="31">
        <v>1359</v>
      </c>
      <c r="B274" s="31" t="s">
        <v>421</v>
      </c>
      <c r="C274" s="31">
        <v>1351</v>
      </c>
      <c r="D274" s="15">
        <f>INDEX(卡牌图鉴!$S$2:$S$53,MATCH(monster!C274,卡牌图鉴!$C$2:$C$53,0))</f>
        <v>3</v>
      </c>
      <c r="E274" s="31">
        <v>8</v>
      </c>
      <c r="F274" s="15">
        <f>INT(INDEX(卡牌图鉴!$AB$2:$AB$53,MATCH(monster!C274,卡牌图鉴!$C$2:$C$57,0)) * INDEX(数值规划表!$B$61:$B$71,monster!E274+1) * 血量调整)</f>
        <v>3221</v>
      </c>
      <c r="G274" s="15">
        <f>ROUND(INDEX(卡牌图鉴!$AB$2:$AB$53,MATCH(monster!C274,卡牌图鉴!$C$2:$C$57,0)) * INDEX(数值规划表!$D$61:$D$71,monster!E274+1)*血量调整,2)</f>
        <v>96.65</v>
      </c>
      <c r="H274" s="15">
        <f>ROUND(INDEX(卡牌图鉴!$AA$2:$AA$53,MATCH(monster!C274,卡牌图鉴!$C$2:$C$53,0)) * INDEX(数值规划表!$C$61:$C$71,monster!E274+1),2)</f>
        <v>98</v>
      </c>
      <c r="I274" s="15">
        <f>ROUND(INDEX(卡牌图鉴!$AA$2:$AA$53,MATCH(monster!C274,卡牌图鉴!$C$2:$C$53,0)) * INDEX(数值规划表!$E$61:$E$71,monster!E274+1),2)</f>
        <v>2.94</v>
      </c>
      <c r="J274" s="15">
        <f>INDEX(卡牌图鉴!$J$2:$J$53,MATCH(monster!C274,卡牌图鉴!$C$2:$C$53,0))</f>
        <v>1.2</v>
      </c>
      <c r="K274" s="15">
        <f>INDEX(卡牌图鉴!$S$2:$S$53,MATCH(monster!C274,卡牌图鉴!$C$2:$C$53,0))</f>
        <v>3</v>
      </c>
      <c r="L274" s="15">
        <f>INDEX(卡牌图鉴!$H$2:$H$53,MATCH(monster!C274,卡牌图鉴!$C$2:$C$53,0))</f>
        <v>1.4</v>
      </c>
      <c r="M274" s="15">
        <f>INDEX(卡牌图鉴!$L$2:$L$53,MATCH(monster!C274,卡牌图鉴!$C$2:$C$53,0))</f>
        <v>7</v>
      </c>
      <c r="N274" s="15">
        <f>INDEX(卡牌图鉴!$AD$2:$AD$53,MATCH(monster!C274,卡牌图鉴!$C$2:$C$53,0))</f>
        <v>8</v>
      </c>
      <c r="O274" s="78">
        <f>INDEX(卡牌图鉴!$K$2:$K$53,MATCH(monster!C274,卡牌图鉴!$C$2:$C$53,0))</f>
        <v>7</v>
      </c>
    </row>
    <row r="275" spans="1:15" x14ac:dyDescent="0.15">
      <c r="A275" s="31">
        <v>1360</v>
      </c>
      <c r="B275" s="31" t="s">
        <v>422</v>
      </c>
      <c r="C275" s="31">
        <v>1351</v>
      </c>
      <c r="D275" s="15">
        <f>INDEX(卡牌图鉴!$S$2:$S$53,MATCH(monster!C275,卡牌图鉴!$C$2:$C$53,0))</f>
        <v>3</v>
      </c>
      <c r="E275" s="31">
        <v>9</v>
      </c>
      <c r="F275" s="15">
        <f>INT(INDEX(卡牌图鉴!$AB$2:$AB$53,MATCH(monster!C275,卡牌图鉴!$C$2:$C$57,0)) * INDEX(数值规划表!$B$61:$B$71,monster!E275+1) * 血量调整)</f>
        <v>3608</v>
      </c>
      <c r="G275" s="15">
        <f>ROUND(INDEX(卡牌图鉴!$AB$2:$AB$53,MATCH(monster!C275,卡牌图鉴!$C$2:$C$57,0)) * INDEX(数值规划表!$D$61:$D$71,monster!E275+1)*血量调整,2)</f>
        <v>108.25</v>
      </c>
      <c r="H275" s="15">
        <f>ROUND(INDEX(卡牌图鉴!$AA$2:$AA$53,MATCH(monster!C275,卡牌图鉴!$C$2:$C$53,0)) * INDEX(数值规划表!$C$61:$C$71,monster!E275+1),2)</f>
        <v>109.76</v>
      </c>
      <c r="I275" s="15">
        <f>ROUND(INDEX(卡牌图鉴!$AA$2:$AA$53,MATCH(monster!C275,卡牌图鉴!$C$2:$C$53,0)) * INDEX(数值规划表!$E$61:$E$71,monster!E275+1),2)</f>
        <v>3.29</v>
      </c>
      <c r="J275" s="15">
        <f>INDEX(卡牌图鉴!$J$2:$J$53,MATCH(monster!C275,卡牌图鉴!$C$2:$C$53,0))</f>
        <v>1.2</v>
      </c>
      <c r="K275" s="15">
        <f>INDEX(卡牌图鉴!$S$2:$S$53,MATCH(monster!C275,卡牌图鉴!$C$2:$C$53,0))</f>
        <v>3</v>
      </c>
      <c r="L275" s="15">
        <f>INDEX(卡牌图鉴!$H$2:$H$53,MATCH(monster!C275,卡牌图鉴!$C$2:$C$53,0))</f>
        <v>1.4</v>
      </c>
      <c r="M275" s="15">
        <f>INDEX(卡牌图鉴!$L$2:$L$53,MATCH(monster!C275,卡牌图鉴!$C$2:$C$53,0))</f>
        <v>7</v>
      </c>
      <c r="N275" s="15">
        <f>INDEX(卡牌图鉴!$AD$2:$AD$53,MATCH(monster!C275,卡牌图鉴!$C$2:$C$53,0))</f>
        <v>8</v>
      </c>
      <c r="O275" s="78">
        <f>INDEX(卡牌图鉴!$K$2:$K$53,MATCH(monster!C275,卡牌图鉴!$C$2:$C$53,0))</f>
        <v>7</v>
      </c>
    </row>
    <row r="276" spans="1:15" x14ac:dyDescent="0.15">
      <c r="A276" s="31">
        <v>1361</v>
      </c>
      <c r="B276" s="31" t="s">
        <v>423</v>
      </c>
      <c r="C276" s="31">
        <v>1351</v>
      </c>
      <c r="D276" s="15">
        <f>INDEX(卡牌图鉴!$S$2:$S$53,MATCH(monster!C276,卡牌图鉴!$C$2:$C$53,0))</f>
        <v>3</v>
      </c>
      <c r="E276" s="31">
        <v>10</v>
      </c>
      <c r="F276" s="15">
        <f>INT(INDEX(卡牌图鉴!$AB$2:$AB$53,MATCH(monster!C276,卡牌图鉴!$C$2:$C$57,0)) * INDEX(数值规划表!$B$61:$B$71,monster!E276+1) * 血量调整)</f>
        <v>4041</v>
      </c>
      <c r="G276" s="15">
        <f>ROUND(INDEX(卡牌图鉴!$AB$2:$AB$53,MATCH(monster!C276,卡牌图鉴!$C$2:$C$57,0)) * INDEX(数值规划表!$D$61:$D$71,monster!E276+1)*血量调整,2)</f>
        <v>121.24</v>
      </c>
      <c r="H276" s="15">
        <f>ROUND(INDEX(卡牌图鉴!$AA$2:$AA$53,MATCH(monster!C276,卡牌图鉴!$C$2:$C$53,0)) * INDEX(数值规划表!$C$61:$C$71,monster!E276+1),2)</f>
        <v>122.93</v>
      </c>
      <c r="I276" s="15">
        <f>ROUND(INDEX(卡牌图鉴!$AA$2:$AA$53,MATCH(monster!C276,卡牌图鉴!$C$2:$C$53,0)) * INDEX(数值规划表!$E$61:$E$71,monster!E276+1),2)</f>
        <v>3.69</v>
      </c>
      <c r="J276" s="15">
        <f>INDEX(卡牌图鉴!$J$2:$J$53,MATCH(monster!C276,卡牌图鉴!$C$2:$C$53,0))</f>
        <v>1.2</v>
      </c>
      <c r="K276" s="15">
        <f>INDEX(卡牌图鉴!$S$2:$S$53,MATCH(monster!C276,卡牌图鉴!$C$2:$C$53,0))</f>
        <v>3</v>
      </c>
      <c r="L276" s="15">
        <f>INDEX(卡牌图鉴!$H$2:$H$53,MATCH(monster!C276,卡牌图鉴!$C$2:$C$53,0))</f>
        <v>1.4</v>
      </c>
      <c r="M276" s="15">
        <f>INDEX(卡牌图鉴!$L$2:$L$53,MATCH(monster!C276,卡牌图鉴!$C$2:$C$53,0))</f>
        <v>7</v>
      </c>
      <c r="N276" s="15">
        <f>INDEX(卡牌图鉴!$AD$2:$AD$53,MATCH(monster!C276,卡牌图鉴!$C$2:$C$53,0))</f>
        <v>8</v>
      </c>
      <c r="O276" s="78">
        <f>INDEX(卡牌图鉴!$K$2:$K$53,MATCH(monster!C276,卡牌图鉴!$C$2:$C$53,0))</f>
        <v>7</v>
      </c>
    </row>
    <row r="277" spans="1:15" x14ac:dyDescent="0.15">
      <c r="A277" s="31">
        <v>1340</v>
      </c>
      <c r="B277" s="31" t="s">
        <v>403</v>
      </c>
      <c r="C277" s="31">
        <v>1340</v>
      </c>
      <c r="D277" s="15">
        <f>INDEX(卡牌图鉴!$S$2:$S$53,MATCH(monster!C277,卡牌图鉴!$C$2:$C$53,0))</f>
        <v>4</v>
      </c>
      <c r="E277" s="31">
        <v>0</v>
      </c>
      <c r="F277" s="15">
        <f>INT(INDEX(卡牌图鉴!$AB$2:$AB$53,MATCH(monster!C277,卡牌图鉴!$C$2:$C$57,0)) * INDEX(数值规划表!$B$61:$B$71,monster!E277+1) * 血量调整)</f>
        <v>245</v>
      </c>
      <c r="G277" s="15">
        <f>ROUND(INDEX(卡牌图鉴!$AB$2:$AB$53,MATCH(monster!C277,卡牌图鉴!$C$2:$C$57,0)) * INDEX(数值规划表!$D$61:$D$71,monster!E277+1)*血量调整,2)</f>
        <v>7.38</v>
      </c>
      <c r="H277" s="15">
        <f>ROUND(INDEX(卡牌图鉴!$AA$2:$AA$53,MATCH(monster!C277,卡牌图鉴!$C$2:$C$53,0)) * INDEX(数值规划表!$C$61:$C$71,monster!E277+1),2)</f>
        <v>72.81</v>
      </c>
      <c r="I277" s="15">
        <f>ROUND(INDEX(卡牌图鉴!$AA$2:$AA$53,MATCH(monster!C277,卡牌图鉴!$C$2:$C$53,0)) * INDEX(数值规划表!$E$61:$E$71,monster!E277+1),2)</f>
        <v>2.1800000000000002</v>
      </c>
      <c r="J277" s="15">
        <f>INDEX(卡牌图鉴!$J$2:$J$53,MATCH(monster!C277,卡牌图鉴!$C$2:$C$53,0))</f>
        <v>5</v>
      </c>
      <c r="K277" s="15">
        <f>INDEX(卡牌图鉴!$S$2:$S$53,MATCH(monster!C277,卡牌图鉴!$C$2:$C$53,0))</f>
        <v>4</v>
      </c>
      <c r="L277" s="15">
        <f>INDEX(卡牌图鉴!$H$2:$H$53,MATCH(monster!C277,卡牌图鉴!$C$2:$C$53,0))</f>
        <v>1.1000000000000001</v>
      </c>
      <c r="M277" s="15">
        <f>INDEX(卡牌图鉴!$L$2:$L$53,MATCH(monster!C277,卡牌图鉴!$C$2:$C$53,0))</f>
        <v>6</v>
      </c>
      <c r="N277" s="15">
        <f>INDEX(卡牌图鉴!$AD$2:$AD$53,MATCH(monster!C277,卡牌图鉴!$C$2:$C$53,0))</f>
        <v>6</v>
      </c>
      <c r="O277" s="78">
        <f>INDEX(卡牌图鉴!$K$2:$K$53,MATCH(monster!C277,卡牌图鉴!$C$2:$C$53,0))</f>
        <v>6</v>
      </c>
    </row>
    <row r="278" spans="1:15" x14ac:dyDescent="0.15">
      <c r="A278" s="31">
        <v>1341</v>
      </c>
      <c r="B278" s="31" t="s">
        <v>1449</v>
      </c>
      <c r="C278" s="31">
        <v>1340</v>
      </c>
      <c r="D278" s="15">
        <f>INDEX(卡牌图鉴!$S$2:$S$53,MATCH(monster!C278,卡牌图鉴!$C$2:$C$53,0))</f>
        <v>4</v>
      </c>
      <c r="E278" s="31">
        <v>1</v>
      </c>
      <c r="F278" s="15">
        <f>INT(INDEX(卡牌图鉴!$AB$2:$AB$53,MATCH(monster!C278,卡牌图鉴!$C$2:$C$57,0)) * INDEX(数值规划表!$B$61:$B$71,monster!E278+1) * 血量调整)</f>
        <v>275</v>
      </c>
      <c r="G278" s="15">
        <f>ROUND(INDEX(卡牌图鉴!$AB$2:$AB$53,MATCH(monster!C278,卡牌图鉴!$C$2:$C$57,0)) * INDEX(数值规划表!$D$61:$D$71,monster!E278+1)*血量调整,2)</f>
        <v>8.26</v>
      </c>
      <c r="H278" s="15">
        <f>ROUND(INDEX(卡牌图鉴!$AA$2:$AA$53,MATCH(monster!C278,卡牌图鉴!$C$2:$C$53,0)) * INDEX(数值规划表!$C$61:$C$71,monster!E278+1),2)</f>
        <v>81.55</v>
      </c>
      <c r="I278" s="15">
        <f>ROUND(INDEX(卡牌图鉴!$AA$2:$AA$53,MATCH(monster!C278,卡牌图鉴!$C$2:$C$53,0)) * INDEX(数值规划表!$E$61:$E$71,monster!E278+1),2)</f>
        <v>2.4500000000000002</v>
      </c>
      <c r="J278" s="15">
        <f>INDEX(卡牌图鉴!$J$2:$J$53,MATCH(monster!C278,卡牌图鉴!$C$2:$C$53,0))</f>
        <v>5</v>
      </c>
      <c r="K278" s="15">
        <f>INDEX(卡牌图鉴!$S$2:$S$53,MATCH(monster!C278,卡牌图鉴!$C$2:$C$53,0))</f>
        <v>4</v>
      </c>
      <c r="L278" s="15">
        <f>INDEX(卡牌图鉴!$H$2:$H$53,MATCH(monster!C278,卡牌图鉴!$C$2:$C$53,0))</f>
        <v>1.1000000000000001</v>
      </c>
      <c r="M278" s="15">
        <f>INDEX(卡牌图鉴!$L$2:$L$53,MATCH(monster!C278,卡牌图鉴!$C$2:$C$53,0))</f>
        <v>6</v>
      </c>
      <c r="N278" s="15">
        <f>INDEX(卡牌图鉴!$AD$2:$AD$53,MATCH(monster!C278,卡牌图鉴!$C$2:$C$53,0))</f>
        <v>6</v>
      </c>
      <c r="O278" s="78">
        <f>INDEX(卡牌图鉴!$K$2:$K$53,MATCH(monster!C278,卡牌图鉴!$C$2:$C$53,0))</f>
        <v>6</v>
      </c>
    </row>
    <row r="279" spans="1:15" x14ac:dyDescent="0.15">
      <c r="A279" s="31">
        <v>1342</v>
      </c>
      <c r="B279" s="31" t="s">
        <v>404</v>
      </c>
      <c r="C279" s="31">
        <v>1340</v>
      </c>
      <c r="D279" s="15">
        <f>INDEX(卡牌图鉴!$S$2:$S$53,MATCH(monster!C279,卡牌图鉴!$C$2:$C$53,0))</f>
        <v>4</v>
      </c>
      <c r="E279" s="31">
        <v>2</v>
      </c>
      <c r="F279" s="15">
        <f>INT(INDEX(卡牌图鉴!$AB$2:$AB$53,MATCH(monster!C279,卡牌图鉴!$C$2:$C$57,0)) * INDEX(数值规划表!$B$61:$B$71,monster!E279+1) * 血量调整)</f>
        <v>308</v>
      </c>
      <c r="G279" s="15">
        <f>ROUND(INDEX(卡牌图鉴!$AB$2:$AB$53,MATCH(monster!C279,卡牌图鉴!$C$2:$C$57,0)) * INDEX(数值规划表!$D$61:$D$71,monster!E279+1)*血量调整,2)</f>
        <v>9.26</v>
      </c>
      <c r="H279" s="15">
        <f>ROUND(INDEX(卡牌图鉴!$AA$2:$AA$53,MATCH(monster!C279,卡牌图鉴!$C$2:$C$53,0)) * INDEX(数值规划表!$C$61:$C$71,monster!E279+1),2)</f>
        <v>91.33</v>
      </c>
      <c r="I279" s="15">
        <f>ROUND(INDEX(卡牌图鉴!$AA$2:$AA$53,MATCH(monster!C279,卡牌图鉴!$C$2:$C$53,0)) * INDEX(数值规划表!$E$61:$E$71,monster!E279+1),2)</f>
        <v>2.74</v>
      </c>
      <c r="J279" s="15">
        <f>INDEX(卡牌图鉴!$J$2:$J$53,MATCH(monster!C279,卡牌图鉴!$C$2:$C$53,0))</f>
        <v>5</v>
      </c>
      <c r="K279" s="15">
        <f>INDEX(卡牌图鉴!$S$2:$S$53,MATCH(monster!C279,卡牌图鉴!$C$2:$C$53,0))</f>
        <v>4</v>
      </c>
      <c r="L279" s="15">
        <f>INDEX(卡牌图鉴!$H$2:$H$53,MATCH(monster!C279,卡牌图鉴!$C$2:$C$53,0))</f>
        <v>1.1000000000000001</v>
      </c>
      <c r="M279" s="15">
        <f>INDEX(卡牌图鉴!$L$2:$L$53,MATCH(monster!C279,卡牌图鉴!$C$2:$C$53,0))</f>
        <v>6</v>
      </c>
      <c r="N279" s="15">
        <f>INDEX(卡牌图鉴!$AD$2:$AD$53,MATCH(monster!C279,卡牌图鉴!$C$2:$C$53,0))</f>
        <v>6</v>
      </c>
      <c r="O279" s="78">
        <f>INDEX(卡牌图鉴!$K$2:$K$53,MATCH(monster!C279,卡牌图鉴!$C$2:$C$53,0))</f>
        <v>6</v>
      </c>
    </row>
    <row r="280" spans="1:15" x14ac:dyDescent="0.15">
      <c r="A280" s="31">
        <v>1343</v>
      </c>
      <c r="B280" s="31" t="s">
        <v>405</v>
      </c>
      <c r="C280" s="31">
        <v>1340</v>
      </c>
      <c r="D280" s="15">
        <f>INDEX(卡牌图鉴!$S$2:$S$53,MATCH(monster!C280,卡牌图鉴!$C$2:$C$53,0))</f>
        <v>4</v>
      </c>
      <c r="E280" s="31">
        <v>3</v>
      </c>
      <c r="F280" s="15">
        <f>INT(INDEX(卡牌图鉴!$AB$2:$AB$53,MATCH(monster!C280,卡牌图鉴!$C$2:$C$57,0)) * INDEX(数值规划表!$B$61:$B$71,monster!E280+1) * 血量调整)</f>
        <v>345</v>
      </c>
      <c r="G280" s="15">
        <f>ROUND(INDEX(卡牌图鉴!$AB$2:$AB$53,MATCH(monster!C280,卡牌图鉴!$C$2:$C$57,0)) * INDEX(数值规划表!$D$61:$D$71,monster!E280+1)*血量调整,2)</f>
        <v>10.37</v>
      </c>
      <c r="H280" s="15">
        <f>ROUND(INDEX(卡牌图鉴!$AA$2:$AA$53,MATCH(monster!C280,卡牌图鉴!$C$2:$C$53,0)) * INDEX(数值规划表!$C$61:$C$71,monster!E280+1),2)</f>
        <v>102.29</v>
      </c>
      <c r="I280" s="15">
        <f>ROUND(INDEX(卡牌图鉴!$AA$2:$AA$53,MATCH(monster!C280,卡牌图鉴!$C$2:$C$53,0)) * INDEX(数值规划表!$E$61:$E$71,monster!E280+1),2)</f>
        <v>3.07</v>
      </c>
      <c r="J280" s="15">
        <f>INDEX(卡牌图鉴!$J$2:$J$53,MATCH(monster!C280,卡牌图鉴!$C$2:$C$53,0))</f>
        <v>5</v>
      </c>
      <c r="K280" s="15">
        <f>INDEX(卡牌图鉴!$S$2:$S$53,MATCH(monster!C280,卡牌图鉴!$C$2:$C$53,0))</f>
        <v>4</v>
      </c>
      <c r="L280" s="15">
        <f>INDEX(卡牌图鉴!$H$2:$H$53,MATCH(monster!C280,卡牌图鉴!$C$2:$C$53,0))</f>
        <v>1.1000000000000001</v>
      </c>
      <c r="M280" s="15">
        <f>INDEX(卡牌图鉴!$L$2:$L$53,MATCH(monster!C280,卡牌图鉴!$C$2:$C$53,0))</f>
        <v>6</v>
      </c>
      <c r="N280" s="15">
        <f>INDEX(卡牌图鉴!$AD$2:$AD$53,MATCH(monster!C280,卡牌图鉴!$C$2:$C$53,0))</f>
        <v>6</v>
      </c>
      <c r="O280" s="78">
        <f>INDEX(卡牌图鉴!$K$2:$K$53,MATCH(monster!C280,卡牌图鉴!$C$2:$C$53,0))</f>
        <v>6</v>
      </c>
    </row>
    <row r="281" spans="1:15" x14ac:dyDescent="0.15">
      <c r="A281" s="31">
        <v>1344</v>
      </c>
      <c r="B281" s="31" t="s">
        <v>406</v>
      </c>
      <c r="C281" s="31">
        <v>1340</v>
      </c>
      <c r="D281" s="15">
        <f>INDEX(卡牌图鉴!$S$2:$S$53,MATCH(monster!C281,卡牌图鉴!$C$2:$C$53,0))</f>
        <v>4</v>
      </c>
      <c r="E281" s="31">
        <v>4</v>
      </c>
      <c r="F281" s="15">
        <f>INT(INDEX(卡牌图鉴!$AB$2:$AB$53,MATCH(monster!C281,卡牌图鉴!$C$2:$C$57,0)) * INDEX(数值规划表!$B$61:$B$71,monster!E281+1) * 血量调整)</f>
        <v>387</v>
      </c>
      <c r="G281" s="15">
        <f>ROUND(INDEX(卡牌图鉴!$AB$2:$AB$53,MATCH(monster!C281,卡牌图鉴!$C$2:$C$57,0)) * INDEX(数值规划表!$D$61:$D$71,monster!E281+1)*血量调整,2)</f>
        <v>11.61</v>
      </c>
      <c r="H281" s="15">
        <f>ROUND(INDEX(卡牌图鉴!$AA$2:$AA$53,MATCH(monster!C281,卡牌图鉴!$C$2:$C$53,0)) * INDEX(数值规划表!$C$61:$C$71,monster!E281+1),2)</f>
        <v>114.57</v>
      </c>
      <c r="I281" s="15">
        <f>ROUND(INDEX(卡牌图鉴!$AA$2:$AA$53,MATCH(monster!C281,卡牌图鉴!$C$2:$C$53,0)) * INDEX(数值规划表!$E$61:$E$71,monster!E281+1),2)</f>
        <v>3.44</v>
      </c>
      <c r="J281" s="15">
        <f>INDEX(卡牌图鉴!$J$2:$J$53,MATCH(monster!C281,卡牌图鉴!$C$2:$C$53,0))</f>
        <v>5</v>
      </c>
      <c r="K281" s="15">
        <f>INDEX(卡牌图鉴!$S$2:$S$53,MATCH(monster!C281,卡牌图鉴!$C$2:$C$53,0))</f>
        <v>4</v>
      </c>
      <c r="L281" s="15">
        <f>INDEX(卡牌图鉴!$H$2:$H$53,MATCH(monster!C281,卡牌图鉴!$C$2:$C$53,0))</f>
        <v>1.1000000000000001</v>
      </c>
      <c r="M281" s="15">
        <f>INDEX(卡牌图鉴!$L$2:$L$53,MATCH(monster!C281,卡牌图鉴!$C$2:$C$53,0))</f>
        <v>6</v>
      </c>
      <c r="N281" s="15">
        <f>INDEX(卡牌图鉴!$AD$2:$AD$53,MATCH(monster!C281,卡牌图鉴!$C$2:$C$53,0))</f>
        <v>6</v>
      </c>
      <c r="O281" s="78">
        <f>INDEX(卡牌图鉴!$K$2:$K$53,MATCH(monster!C281,卡牌图鉴!$C$2:$C$53,0))</f>
        <v>6</v>
      </c>
    </row>
    <row r="282" spans="1:15" x14ac:dyDescent="0.15">
      <c r="A282" s="31">
        <v>1345</v>
      </c>
      <c r="B282" s="31" t="s">
        <v>407</v>
      </c>
      <c r="C282" s="31">
        <v>1340</v>
      </c>
      <c r="D282" s="15">
        <f>INDEX(卡牌图鉴!$S$2:$S$53,MATCH(monster!C282,卡牌图鉴!$C$2:$C$53,0))</f>
        <v>4</v>
      </c>
      <c r="E282" s="31">
        <v>5</v>
      </c>
      <c r="F282" s="15">
        <f>INT(INDEX(卡牌图鉴!$AB$2:$AB$53,MATCH(monster!C282,卡牌图鉴!$C$2:$C$57,0)) * INDEX(数值规划表!$B$61:$B$71,monster!E282+1) * 血量调整)</f>
        <v>433</v>
      </c>
      <c r="G282" s="15">
        <f>ROUND(INDEX(卡牌图鉴!$AB$2:$AB$53,MATCH(monster!C282,卡牌图鉴!$C$2:$C$57,0)) * INDEX(数值规划表!$D$61:$D$71,monster!E282+1)*血量调整,2)</f>
        <v>13.01</v>
      </c>
      <c r="H282" s="15">
        <f>ROUND(INDEX(卡牌图鉴!$AA$2:$AA$53,MATCH(monster!C282,卡牌图鉴!$C$2:$C$53,0)) * INDEX(数值规划表!$C$61:$C$71,monster!E282+1),2)</f>
        <v>128.32</v>
      </c>
      <c r="I282" s="15">
        <f>ROUND(INDEX(卡牌图鉴!$AA$2:$AA$53,MATCH(monster!C282,卡牌图鉴!$C$2:$C$53,0)) * INDEX(数值规划表!$E$61:$E$71,monster!E282+1),2)</f>
        <v>3.85</v>
      </c>
      <c r="J282" s="15">
        <f>INDEX(卡牌图鉴!$J$2:$J$53,MATCH(monster!C282,卡牌图鉴!$C$2:$C$53,0))</f>
        <v>5</v>
      </c>
      <c r="K282" s="15">
        <f>INDEX(卡牌图鉴!$S$2:$S$53,MATCH(monster!C282,卡牌图鉴!$C$2:$C$53,0))</f>
        <v>4</v>
      </c>
      <c r="L282" s="15">
        <f>INDEX(卡牌图鉴!$H$2:$H$53,MATCH(monster!C282,卡牌图鉴!$C$2:$C$53,0))</f>
        <v>1.1000000000000001</v>
      </c>
      <c r="M282" s="15">
        <f>INDEX(卡牌图鉴!$L$2:$L$53,MATCH(monster!C282,卡牌图鉴!$C$2:$C$53,0))</f>
        <v>6</v>
      </c>
      <c r="N282" s="15">
        <f>INDEX(卡牌图鉴!$AD$2:$AD$53,MATCH(monster!C282,卡牌图鉴!$C$2:$C$53,0))</f>
        <v>6</v>
      </c>
      <c r="O282" s="78">
        <f>INDEX(卡牌图鉴!$K$2:$K$53,MATCH(monster!C282,卡牌图鉴!$C$2:$C$53,0))</f>
        <v>6</v>
      </c>
    </row>
    <row r="283" spans="1:15" x14ac:dyDescent="0.15">
      <c r="A283" s="31">
        <v>1346</v>
      </c>
      <c r="B283" s="31" t="s">
        <v>408</v>
      </c>
      <c r="C283" s="31">
        <v>1340</v>
      </c>
      <c r="D283" s="15">
        <f>INDEX(卡牌图鉴!$S$2:$S$53,MATCH(monster!C283,卡牌图鉴!$C$2:$C$53,0))</f>
        <v>4</v>
      </c>
      <c r="E283" s="31">
        <v>6</v>
      </c>
      <c r="F283" s="15">
        <f>INT(INDEX(卡牌图鉴!$AB$2:$AB$53,MATCH(monster!C283,卡牌图鉴!$C$2:$C$57,0)) * INDEX(数值规划表!$B$61:$B$71,monster!E283+1) * 血量调整)</f>
        <v>485</v>
      </c>
      <c r="G283" s="15">
        <f>ROUND(INDEX(卡牌图鉴!$AB$2:$AB$53,MATCH(monster!C283,卡牌图鉴!$C$2:$C$57,0)) * INDEX(数值规划表!$D$61:$D$71,monster!E283+1)*血量调整,2)</f>
        <v>14.57</v>
      </c>
      <c r="H283" s="15">
        <f>ROUND(INDEX(卡牌图鉴!$AA$2:$AA$53,MATCH(monster!C283,卡牌图鉴!$C$2:$C$53,0)) * INDEX(数值规划表!$C$61:$C$71,monster!E283+1),2)</f>
        <v>143.71</v>
      </c>
      <c r="I283" s="15">
        <f>ROUND(INDEX(卡牌图鉴!$AA$2:$AA$53,MATCH(monster!C283,卡牌图鉴!$C$2:$C$53,0)) * INDEX(数值规划表!$E$61:$E$71,monster!E283+1),2)</f>
        <v>4.3099999999999996</v>
      </c>
      <c r="J283" s="15">
        <f>INDEX(卡牌图鉴!$J$2:$J$53,MATCH(monster!C283,卡牌图鉴!$C$2:$C$53,0))</f>
        <v>5</v>
      </c>
      <c r="K283" s="15">
        <f>INDEX(卡牌图鉴!$S$2:$S$53,MATCH(monster!C283,卡牌图鉴!$C$2:$C$53,0))</f>
        <v>4</v>
      </c>
      <c r="L283" s="15">
        <f>INDEX(卡牌图鉴!$H$2:$H$53,MATCH(monster!C283,卡牌图鉴!$C$2:$C$53,0))</f>
        <v>1.1000000000000001</v>
      </c>
      <c r="M283" s="15">
        <f>INDEX(卡牌图鉴!$L$2:$L$53,MATCH(monster!C283,卡牌图鉴!$C$2:$C$53,0))</f>
        <v>6</v>
      </c>
      <c r="N283" s="15">
        <f>INDEX(卡牌图鉴!$AD$2:$AD$53,MATCH(monster!C283,卡牌图鉴!$C$2:$C$53,0))</f>
        <v>6</v>
      </c>
      <c r="O283" s="78">
        <f>INDEX(卡牌图鉴!$K$2:$K$53,MATCH(monster!C283,卡牌图鉴!$C$2:$C$53,0))</f>
        <v>6</v>
      </c>
    </row>
    <row r="284" spans="1:15" x14ac:dyDescent="0.15">
      <c r="A284" s="31">
        <v>1347</v>
      </c>
      <c r="B284" s="31" t="s">
        <v>409</v>
      </c>
      <c r="C284" s="31">
        <v>1340</v>
      </c>
      <c r="D284" s="15">
        <f>INDEX(卡牌图鉴!$S$2:$S$53,MATCH(monster!C284,卡牌图鉴!$C$2:$C$53,0))</f>
        <v>4</v>
      </c>
      <c r="E284" s="31">
        <v>7</v>
      </c>
      <c r="F284" s="15">
        <f>INT(INDEX(卡牌图鉴!$AB$2:$AB$53,MATCH(monster!C284,卡牌图鉴!$C$2:$C$57,0)) * INDEX(数值规划表!$B$61:$B$71,monster!E284+1) * 血量调整)</f>
        <v>543</v>
      </c>
      <c r="G284" s="15">
        <f>ROUND(INDEX(卡牌图鉴!$AB$2:$AB$53,MATCH(monster!C284,卡牌图鉴!$C$2:$C$57,0)) * INDEX(数值规划表!$D$61:$D$71,monster!E284+1)*血量调整,2)</f>
        <v>16.309999999999999</v>
      </c>
      <c r="H284" s="15">
        <f>ROUND(INDEX(卡牌图鉴!$AA$2:$AA$53,MATCH(monster!C284,卡牌图鉴!$C$2:$C$53,0)) * INDEX(数值规划表!$C$61:$C$71,monster!E284+1),2)</f>
        <v>160.96</v>
      </c>
      <c r="I284" s="15">
        <f>ROUND(INDEX(卡牌图鉴!$AA$2:$AA$53,MATCH(monster!C284,卡牌图鉴!$C$2:$C$53,0)) * INDEX(数值规划表!$E$61:$E$71,monster!E284+1),2)</f>
        <v>4.83</v>
      </c>
      <c r="J284" s="15">
        <f>INDEX(卡牌图鉴!$J$2:$J$53,MATCH(monster!C284,卡牌图鉴!$C$2:$C$53,0))</f>
        <v>5</v>
      </c>
      <c r="K284" s="15">
        <f>INDEX(卡牌图鉴!$S$2:$S$53,MATCH(monster!C284,卡牌图鉴!$C$2:$C$53,0))</f>
        <v>4</v>
      </c>
      <c r="L284" s="15">
        <f>INDEX(卡牌图鉴!$H$2:$H$53,MATCH(monster!C284,卡牌图鉴!$C$2:$C$53,0))</f>
        <v>1.1000000000000001</v>
      </c>
      <c r="M284" s="15">
        <f>INDEX(卡牌图鉴!$L$2:$L$53,MATCH(monster!C284,卡牌图鉴!$C$2:$C$53,0))</f>
        <v>6</v>
      </c>
      <c r="N284" s="15">
        <f>INDEX(卡牌图鉴!$AD$2:$AD$53,MATCH(monster!C284,卡牌图鉴!$C$2:$C$53,0))</f>
        <v>6</v>
      </c>
      <c r="O284" s="78">
        <f>INDEX(卡牌图鉴!$K$2:$K$53,MATCH(monster!C284,卡牌图鉴!$C$2:$C$53,0))</f>
        <v>6</v>
      </c>
    </row>
    <row r="285" spans="1:15" x14ac:dyDescent="0.15">
      <c r="A285" s="31">
        <v>1348</v>
      </c>
      <c r="B285" s="31" t="s">
        <v>410</v>
      </c>
      <c r="C285" s="31">
        <v>1340</v>
      </c>
      <c r="D285" s="15">
        <f>INDEX(卡牌图鉴!$S$2:$S$53,MATCH(monster!C285,卡牌图鉴!$C$2:$C$53,0))</f>
        <v>4</v>
      </c>
      <c r="E285" s="31">
        <v>8</v>
      </c>
      <c r="F285" s="15">
        <f>INT(INDEX(卡牌图鉴!$AB$2:$AB$53,MATCH(monster!C285,卡牌图鉴!$C$2:$C$57,0)) * INDEX(数值规划表!$B$61:$B$71,monster!E285+1) * 血量调整)</f>
        <v>609</v>
      </c>
      <c r="G285" s="15">
        <f>ROUND(INDEX(卡牌图鉴!$AB$2:$AB$53,MATCH(monster!C285,卡牌图鉴!$C$2:$C$57,0)) * INDEX(数值规划表!$D$61:$D$71,monster!E285+1)*血量调整,2)</f>
        <v>18.27</v>
      </c>
      <c r="H285" s="15">
        <f>ROUND(INDEX(卡牌图鉴!$AA$2:$AA$53,MATCH(monster!C285,卡牌图鉴!$C$2:$C$53,0)) * INDEX(数值规划表!$C$61:$C$71,monster!E285+1),2)</f>
        <v>180.27</v>
      </c>
      <c r="I285" s="15">
        <f>ROUND(INDEX(卡牌图鉴!$AA$2:$AA$53,MATCH(monster!C285,卡牌图鉴!$C$2:$C$53,0)) * INDEX(数值规划表!$E$61:$E$71,monster!E285+1),2)</f>
        <v>5.41</v>
      </c>
      <c r="J285" s="15">
        <f>INDEX(卡牌图鉴!$J$2:$J$53,MATCH(monster!C285,卡牌图鉴!$C$2:$C$53,0))</f>
        <v>5</v>
      </c>
      <c r="K285" s="15">
        <f>INDEX(卡牌图鉴!$S$2:$S$53,MATCH(monster!C285,卡牌图鉴!$C$2:$C$53,0))</f>
        <v>4</v>
      </c>
      <c r="L285" s="15">
        <f>INDEX(卡牌图鉴!$H$2:$H$53,MATCH(monster!C285,卡牌图鉴!$C$2:$C$53,0))</f>
        <v>1.1000000000000001</v>
      </c>
      <c r="M285" s="15">
        <f>INDEX(卡牌图鉴!$L$2:$L$53,MATCH(monster!C285,卡牌图鉴!$C$2:$C$53,0))</f>
        <v>6</v>
      </c>
      <c r="N285" s="15">
        <f>INDEX(卡牌图鉴!$AD$2:$AD$53,MATCH(monster!C285,卡牌图鉴!$C$2:$C$53,0))</f>
        <v>6</v>
      </c>
      <c r="O285" s="78">
        <f>INDEX(卡牌图鉴!$K$2:$K$53,MATCH(monster!C285,卡牌图鉴!$C$2:$C$53,0))</f>
        <v>6</v>
      </c>
    </row>
    <row r="286" spans="1:15" x14ac:dyDescent="0.15">
      <c r="A286" s="31">
        <v>1349</v>
      </c>
      <c r="B286" s="31" t="s">
        <v>411</v>
      </c>
      <c r="C286" s="31">
        <v>1340</v>
      </c>
      <c r="D286" s="15">
        <f>INDEX(卡牌图鉴!$S$2:$S$53,MATCH(monster!C286,卡牌图鉴!$C$2:$C$53,0))</f>
        <v>4</v>
      </c>
      <c r="E286" s="31">
        <v>9</v>
      </c>
      <c r="F286" s="15">
        <f>INT(INDEX(卡牌图鉴!$AB$2:$AB$53,MATCH(monster!C286,卡牌图鉴!$C$2:$C$57,0)) * INDEX(数值规划表!$B$61:$B$71,monster!E286+1) * 血量调整)</f>
        <v>682</v>
      </c>
      <c r="G286" s="15">
        <f>ROUND(INDEX(卡牌图鉴!$AB$2:$AB$53,MATCH(monster!C286,卡牌图鉴!$C$2:$C$57,0)) * INDEX(数值规划表!$D$61:$D$71,monster!E286+1)*血量调整,2)</f>
        <v>20.46</v>
      </c>
      <c r="H286" s="15">
        <f>ROUND(INDEX(卡牌图鉴!$AA$2:$AA$53,MATCH(monster!C286,卡牌图鉴!$C$2:$C$53,0)) * INDEX(数值规划表!$C$61:$C$71,monster!E286+1),2)</f>
        <v>201.91</v>
      </c>
      <c r="I286" s="15">
        <f>ROUND(INDEX(卡牌图鉴!$AA$2:$AA$53,MATCH(monster!C286,卡牌图鉴!$C$2:$C$53,0)) * INDEX(数值规划表!$E$61:$E$71,monster!E286+1),2)</f>
        <v>6.06</v>
      </c>
      <c r="J286" s="15">
        <f>INDEX(卡牌图鉴!$J$2:$J$53,MATCH(monster!C286,卡牌图鉴!$C$2:$C$53,0))</f>
        <v>5</v>
      </c>
      <c r="K286" s="15">
        <f>INDEX(卡牌图鉴!$S$2:$S$53,MATCH(monster!C286,卡牌图鉴!$C$2:$C$53,0))</f>
        <v>4</v>
      </c>
      <c r="L286" s="15">
        <f>INDEX(卡牌图鉴!$H$2:$H$53,MATCH(monster!C286,卡牌图鉴!$C$2:$C$53,0))</f>
        <v>1.1000000000000001</v>
      </c>
      <c r="M286" s="15">
        <f>INDEX(卡牌图鉴!$L$2:$L$53,MATCH(monster!C286,卡牌图鉴!$C$2:$C$53,0))</f>
        <v>6</v>
      </c>
      <c r="N286" s="15">
        <f>INDEX(卡牌图鉴!$AD$2:$AD$53,MATCH(monster!C286,卡牌图鉴!$C$2:$C$53,0))</f>
        <v>6</v>
      </c>
      <c r="O286" s="78">
        <f>INDEX(卡牌图鉴!$K$2:$K$53,MATCH(monster!C286,卡牌图鉴!$C$2:$C$53,0))</f>
        <v>6</v>
      </c>
    </row>
    <row r="287" spans="1:15" x14ac:dyDescent="0.15">
      <c r="A287" s="31">
        <v>1350</v>
      </c>
      <c r="B287" s="31" t="s">
        <v>412</v>
      </c>
      <c r="C287" s="31">
        <v>1340</v>
      </c>
      <c r="D287" s="15">
        <f>INDEX(卡牌图鉴!$S$2:$S$53,MATCH(monster!C287,卡牌图鉴!$C$2:$C$53,0))</f>
        <v>4</v>
      </c>
      <c r="E287" s="31">
        <v>10</v>
      </c>
      <c r="F287" s="15">
        <f>INT(INDEX(卡牌图鉴!$AB$2:$AB$53,MATCH(monster!C287,卡牌图鉴!$C$2:$C$57,0)) * INDEX(数值规划表!$B$61:$B$71,monster!E287+1) * 血量调整)</f>
        <v>763</v>
      </c>
      <c r="G287" s="15">
        <f>ROUND(INDEX(卡牌图鉴!$AB$2:$AB$53,MATCH(monster!C287,卡牌图鉴!$C$2:$C$57,0)) * INDEX(数值规划表!$D$61:$D$71,monster!E287+1)*血量调整,2)</f>
        <v>22.92</v>
      </c>
      <c r="H287" s="15">
        <f>ROUND(INDEX(卡牌图鉴!$AA$2:$AA$53,MATCH(monster!C287,卡牌图鉴!$C$2:$C$53,0)) * INDEX(数值规划表!$C$61:$C$71,monster!E287+1),2)</f>
        <v>226.14</v>
      </c>
      <c r="I287" s="15">
        <f>ROUND(INDEX(卡牌图鉴!$AA$2:$AA$53,MATCH(monster!C287,卡牌图鉴!$C$2:$C$53,0)) * INDEX(数值规划表!$E$61:$E$71,monster!E287+1),2)</f>
        <v>6.78</v>
      </c>
      <c r="J287" s="15">
        <f>INDEX(卡牌图鉴!$J$2:$J$53,MATCH(monster!C287,卡牌图鉴!$C$2:$C$53,0))</f>
        <v>5</v>
      </c>
      <c r="K287" s="15">
        <f>INDEX(卡牌图鉴!$S$2:$S$53,MATCH(monster!C287,卡牌图鉴!$C$2:$C$53,0))</f>
        <v>4</v>
      </c>
      <c r="L287" s="15">
        <f>INDEX(卡牌图鉴!$H$2:$H$53,MATCH(monster!C287,卡牌图鉴!$C$2:$C$53,0))</f>
        <v>1.1000000000000001</v>
      </c>
      <c r="M287" s="15">
        <f>INDEX(卡牌图鉴!$L$2:$L$53,MATCH(monster!C287,卡牌图鉴!$C$2:$C$53,0))</f>
        <v>6</v>
      </c>
      <c r="N287" s="15">
        <f>INDEX(卡牌图鉴!$AD$2:$AD$53,MATCH(monster!C287,卡牌图鉴!$C$2:$C$53,0))</f>
        <v>6</v>
      </c>
      <c r="O287" s="78">
        <f>INDEX(卡牌图鉴!$K$2:$K$53,MATCH(monster!C287,卡牌图鉴!$C$2:$C$53,0))</f>
        <v>6</v>
      </c>
    </row>
    <row r="288" spans="1:15" x14ac:dyDescent="0.15">
      <c r="A288" s="31">
        <v>1261</v>
      </c>
      <c r="B288" s="31" t="s">
        <v>1450</v>
      </c>
      <c r="C288" s="31">
        <v>1261</v>
      </c>
      <c r="D288" s="15">
        <f>INDEX(卡牌图鉴!$S$2:$S$53,MATCH(monster!C288,卡牌图鉴!$C$2:$C$53,0))</f>
        <v>4</v>
      </c>
      <c r="E288" s="31">
        <v>0</v>
      </c>
      <c r="F288" s="15">
        <f>INT(INDEX(卡牌图鉴!$AB$2:$AB$53,MATCH(monster!C288,卡牌图鉴!$C$2:$C$57,0)) * INDEX(数值规划表!$B$61:$B$71,monster!E288+1) * 血量调整)</f>
        <v>434</v>
      </c>
      <c r="G288" s="15">
        <f>ROUND(INDEX(卡牌图鉴!$AB$2:$AB$53,MATCH(monster!C288,卡牌图鉴!$C$2:$C$57,0)) * INDEX(数值规划表!$D$61:$D$71,monster!E288+1)*血量调整,2)</f>
        <v>13.03</v>
      </c>
      <c r="H288" s="15">
        <f>ROUND(INDEX(卡牌图鉴!$AA$2:$AA$53,MATCH(monster!C288,卡牌图鉴!$C$2:$C$53,0)) * INDEX(数值规划表!$C$61:$C$71,monster!E288+1),2)</f>
        <v>76.37</v>
      </c>
      <c r="I288" s="15">
        <f>ROUND(INDEX(卡牌图鉴!$AA$2:$AA$53,MATCH(monster!C288,卡牌图鉴!$C$2:$C$53,0)) * INDEX(数值规划表!$E$61:$E$71,monster!E288+1),2)</f>
        <v>2.29</v>
      </c>
      <c r="J288" s="15">
        <f>INDEX(卡牌图鉴!$J$2:$J$53,MATCH(monster!C288,卡牌图鉴!$C$2:$C$53,0))</f>
        <v>1.2</v>
      </c>
      <c r="K288" s="15">
        <f>INDEX(卡牌图鉴!$S$2:$S$53,MATCH(monster!C288,卡牌图鉴!$C$2:$C$53,0))</f>
        <v>4</v>
      </c>
      <c r="L288" s="15">
        <f>INDEX(卡牌图鉴!$H$2:$H$53,MATCH(monster!C288,卡牌图鉴!$C$2:$C$53,0))</f>
        <v>1.4</v>
      </c>
      <c r="M288" s="15">
        <f>INDEX(卡牌图鉴!$L$2:$L$53,MATCH(monster!C288,卡牌图鉴!$C$2:$C$53,0))</f>
        <v>5</v>
      </c>
      <c r="N288" s="15">
        <f>INDEX(卡牌图鉴!$AD$2:$AD$53,MATCH(monster!C288,卡牌图鉴!$C$2:$C$53,0))</f>
        <v>8</v>
      </c>
      <c r="O288" s="78">
        <f>INDEX(卡牌图鉴!$K$2:$K$53,MATCH(monster!C288,卡牌图鉴!$C$2:$C$53,0))</f>
        <v>5</v>
      </c>
    </row>
    <row r="289" spans="1:15" x14ac:dyDescent="0.15">
      <c r="A289" s="31">
        <v>1262</v>
      </c>
      <c r="B289" s="31" t="s">
        <v>1451</v>
      </c>
      <c r="C289" s="31">
        <v>1261</v>
      </c>
      <c r="D289" s="15">
        <f>INDEX(卡牌图鉴!$S$2:$S$53,MATCH(monster!C289,卡牌图鉴!$C$2:$C$53,0))</f>
        <v>4</v>
      </c>
      <c r="E289" s="31">
        <v>1</v>
      </c>
      <c r="F289" s="15">
        <f>INT(INDEX(卡牌图鉴!$AB$2:$AB$53,MATCH(monster!C289,卡牌图鉴!$C$2:$C$57,0)) * INDEX(数值规划表!$B$61:$B$71,monster!E289+1) * 血量调整)</f>
        <v>486</v>
      </c>
      <c r="G289" s="15">
        <f>ROUND(INDEX(卡牌图鉴!$AB$2:$AB$53,MATCH(monster!C289,卡牌图鉴!$C$2:$C$57,0)) * INDEX(数值规划表!$D$61:$D$71,monster!E289+1)*血量调整,2)</f>
        <v>14.59</v>
      </c>
      <c r="H289" s="15">
        <f>ROUND(INDEX(卡牌图鉴!$AA$2:$AA$53,MATCH(monster!C289,卡牌图鉴!$C$2:$C$53,0)) * INDEX(数值规划表!$C$61:$C$71,monster!E289+1),2)</f>
        <v>85.53</v>
      </c>
      <c r="I289" s="15">
        <f>ROUND(INDEX(卡牌图鉴!$AA$2:$AA$53,MATCH(monster!C289,卡牌图鉴!$C$2:$C$53,0)) * INDEX(数值规划表!$E$61:$E$71,monster!E289+1),2)</f>
        <v>2.57</v>
      </c>
      <c r="J289" s="15">
        <f>INDEX(卡牌图鉴!$J$2:$J$53,MATCH(monster!C289,卡牌图鉴!$C$2:$C$53,0))</f>
        <v>1.2</v>
      </c>
      <c r="K289" s="15">
        <f>INDEX(卡牌图鉴!$S$2:$S$53,MATCH(monster!C289,卡牌图鉴!$C$2:$C$53,0))</f>
        <v>4</v>
      </c>
      <c r="L289" s="15">
        <f>INDEX(卡牌图鉴!$H$2:$H$53,MATCH(monster!C289,卡牌图鉴!$C$2:$C$53,0))</f>
        <v>1.4</v>
      </c>
      <c r="M289" s="15">
        <f>INDEX(卡牌图鉴!$L$2:$L$53,MATCH(monster!C289,卡牌图鉴!$C$2:$C$53,0))</f>
        <v>5</v>
      </c>
      <c r="N289" s="15">
        <f>INDEX(卡牌图鉴!$AD$2:$AD$53,MATCH(monster!C289,卡牌图鉴!$C$2:$C$53,0))</f>
        <v>8</v>
      </c>
      <c r="O289" s="78">
        <f>INDEX(卡牌图鉴!$K$2:$K$53,MATCH(monster!C289,卡牌图鉴!$C$2:$C$53,0))</f>
        <v>5</v>
      </c>
    </row>
    <row r="290" spans="1:15" x14ac:dyDescent="0.15">
      <c r="A290" s="31">
        <v>1263</v>
      </c>
      <c r="B290" s="31" t="s">
        <v>350</v>
      </c>
      <c r="C290" s="31">
        <v>1261</v>
      </c>
      <c r="D290" s="15">
        <f>INDEX(卡牌图鉴!$S$2:$S$53,MATCH(monster!C290,卡牌图鉴!$C$2:$C$53,0))</f>
        <v>4</v>
      </c>
      <c r="E290" s="31">
        <v>2</v>
      </c>
      <c r="F290" s="15">
        <f>INT(INDEX(卡牌图鉴!$AB$2:$AB$53,MATCH(monster!C290,卡牌图鉴!$C$2:$C$57,0)) * INDEX(数值规划表!$B$61:$B$71,monster!E290+1) * 血量调整)</f>
        <v>544</v>
      </c>
      <c r="G290" s="15">
        <f>ROUND(INDEX(卡牌图鉴!$AB$2:$AB$53,MATCH(monster!C290,卡牌图鉴!$C$2:$C$57,0)) * INDEX(数值规划表!$D$61:$D$71,monster!E290+1)*血量调整,2)</f>
        <v>16.350000000000001</v>
      </c>
      <c r="H290" s="15">
        <f>ROUND(INDEX(卡牌图鉴!$AA$2:$AA$53,MATCH(monster!C290,卡牌图鉴!$C$2:$C$53,0)) * INDEX(数值规划表!$C$61:$C$71,monster!E290+1),2)</f>
        <v>95.8</v>
      </c>
      <c r="I290" s="15">
        <f>ROUND(INDEX(卡牌图鉴!$AA$2:$AA$53,MATCH(monster!C290,卡牌图鉴!$C$2:$C$53,0)) * INDEX(数值规划表!$E$61:$E$71,monster!E290+1),2)</f>
        <v>2.87</v>
      </c>
      <c r="J290" s="15">
        <f>INDEX(卡牌图鉴!$J$2:$J$53,MATCH(monster!C290,卡牌图鉴!$C$2:$C$53,0))</f>
        <v>1.2</v>
      </c>
      <c r="K290" s="15">
        <f>INDEX(卡牌图鉴!$S$2:$S$53,MATCH(monster!C290,卡牌图鉴!$C$2:$C$53,0))</f>
        <v>4</v>
      </c>
      <c r="L290" s="15">
        <f>INDEX(卡牌图鉴!$H$2:$H$53,MATCH(monster!C290,卡牌图鉴!$C$2:$C$53,0))</f>
        <v>1.4</v>
      </c>
      <c r="M290" s="15">
        <f>INDEX(卡牌图鉴!$L$2:$L$53,MATCH(monster!C290,卡牌图鉴!$C$2:$C$53,0))</f>
        <v>5</v>
      </c>
      <c r="N290" s="15">
        <f>INDEX(卡牌图鉴!$AD$2:$AD$53,MATCH(monster!C290,卡牌图鉴!$C$2:$C$53,0))</f>
        <v>8</v>
      </c>
      <c r="O290" s="78">
        <f>INDEX(卡牌图鉴!$K$2:$K$53,MATCH(monster!C290,卡牌图鉴!$C$2:$C$53,0))</f>
        <v>5</v>
      </c>
    </row>
    <row r="291" spans="1:15" x14ac:dyDescent="0.15">
      <c r="A291" s="31">
        <v>1264</v>
      </c>
      <c r="B291" s="31" t="s">
        <v>351</v>
      </c>
      <c r="C291" s="31">
        <v>1261</v>
      </c>
      <c r="D291" s="15">
        <f>INDEX(卡牌图鉴!$S$2:$S$53,MATCH(monster!C291,卡牌图鉴!$C$2:$C$53,0))</f>
        <v>4</v>
      </c>
      <c r="E291" s="31">
        <v>3</v>
      </c>
      <c r="F291" s="15">
        <f>INT(INDEX(卡牌图鉴!$AB$2:$AB$53,MATCH(monster!C291,卡牌图鉴!$C$2:$C$57,0)) * INDEX(数值规划表!$B$61:$B$71,monster!E291+1) * 血量调整)</f>
        <v>610</v>
      </c>
      <c r="G291" s="15">
        <f>ROUND(INDEX(卡牌图鉴!$AB$2:$AB$53,MATCH(monster!C291,卡牌图鉴!$C$2:$C$57,0)) * INDEX(数值规划表!$D$61:$D$71,monster!E291+1)*血量调整,2)</f>
        <v>18.309999999999999</v>
      </c>
      <c r="H291" s="15">
        <f>ROUND(INDEX(卡牌图鉴!$AA$2:$AA$53,MATCH(monster!C291,卡牌图鉴!$C$2:$C$53,0)) * INDEX(数值规划表!$C$61:$C$71,monster!E291+1),2)</f>
        <v>107.29</v>
      </c>
      <c r="I291" s="15">
        <f>ROUND(INDEX(卡牌图鉴!$AA$2:$AA$53,MATCH(monster!C291,卡牌图鉴!$C$2:$C$53,0)) * INDEX(数值规划表!$E$61:$E$71,monster!E291+1),2)</f>
        <v>3.22</v>
      </c>
      <c r="J291" s="15">
        <f>INDEX(卡牌图鉴!$J$2:$J$53,MATCH(monster!C291,卡牌图鉴!$C$2:$C$53,0))</f>
        <v>1.2</v>
      </c>
      <c r="K291" s="15">
        <f>INDEX(卡牌图鉴!$S$2:$S$53,MATCH(monster!C291,卡牌图鉴!$C$2:$C$53,0))</f>
        <v>4</v>
      </c>
      <c r="L291" s="15">
        <f>INDEX(卡牌图鉴!$H$2:$H$53,MATCH(monster!C291,卡牌图鉴!$C$2:$C$53,0))</f>
        <v>1.4</v>
      </c>
      <c r="M291" s="15">
        <f>INDEX(卡牌图鉴!$L$2:$L$53,MATCH(monster!C291,卡牌图鉴!$C$2:$C$53,0))</f>
        <v>5</v>
      </c>
      <c r="N291" s="15">
        <f>INDEX(卡牌图鉴!$AD$2:$AD$53,MATCH(monster!C291,卡牌图鉴!$C$2:$C$53,0))</f>
        <v>8</v>
      </c>
      <c r="O291" s="78">
        <f>INDEX(卡牌图鉴!$K$2:$K$53,MATCH(monster!C291,卡牌图鉴!$C$2:$C$53,0))</f>
        <v>5</v>
      </c>
    </row>
    <row r="292" spans="1:15" x14ac:dyDescent="0.15">
      <c r="A292" s="31">
        <v>1265</v>
      </c>
      <c r="B292" s="31" t="s">
        <v>352</v>
      </c>
      <c r="C292" s="31">
        <v>1261</v>
      </c>
      <c r="D292" s="15">
        <f>INDEX(卡牌图鉴!$S$2:$S$53,MATCH(monster!C292,卡牌图鉴!$C$2:$C$53,0))</f>
        <v>4</v>
      </c>
      <c r="E292" s="31">
        <v>4</v>
      </c>
      <c r="F292" s="15">
        <f>INT(INDEX(卡牌图鉴!$AB$2:$AB$53,MATCH(monster!C292,卡牌图鉴!$C$2:$C$57,0)) * INDEX(数值规划表!$B$61:$B$71,monster!E292+1) * 血量调整)</f>
        <v>683</v>
      </c>
      <c r="G292" s="15">
        <f>ROUND(INDEX(卡牌图鉴!$AB$2:$AB$53,MATCH(monster!C292,卡牌图鉴!$C$2:$C$57,0)) * INDEX(数值规划表!$D$61:$D$71,monster!E292+1)*血量调整,2)</f>
        <v>20.5</v>
      </c>
      <c r="H292" s="15">
        <f>ROUND(INDEX(卡牌图鉴!$AA$2:$AA$53,MATCH(monster!C292,卡牌图鉴!$C$2:$C$53,0)) * INDEX(数值规划表!$C$61:$C$71,monster!E292+1),2)</f>
        <v>120.17</v>
      </c>
      <c r="I292" s="15">
        <f>ROUND(INDEX(卡牌图鉴!$AA$2:$AA$53,MATCH(monster!C292,卡牌图鉴!$C$2:$C$53,0)) * INDEX(数值规划表!$E$61:$E$71,monster!E292+1),2)</f>
        <v>3.61</v>
      </c>
      <c r="J292" s="15">
        <f>INDEX(卡牌图鉴!$J$2:$J$53,MATCH(monster!C292,卡牌图鉴!$C$2:$C$53,0))</f>
        <v>1.2</v>
      </c>
      <c r="K292" s="15">
        <f>INDEX(卡牌图鉴!$S$2:$S$53,MATCH(monster!C292,卡牌图鉴!$C$2:$C$53,0))</f>
        <v>4</v>
      </c>
      <c r="L292" s="15">
        <f>INDEX(卡牌图鉴!$H$2:$H$53,MATCH(monster!C292,卡牌图鉴!$C$2:$C$53,0))</f>
        <v>1.4</v>
      </c>
      <c r="M292" s="15">
        <f>INDEX(卡牌图鉴!$L$2:$L$53,MATCH(monster!C292,卡牌图鉴!$C$2:$C$53,0))</f>
        <v>5</v>
      </c>
      <c r="N292" s="15">
        <f>INDEX(卡牌图鉴!$AD$2:$AD$53,MATCH(monster!C292,卡牌图鉴!$C$2:$C$53,0))</f>
        <v>8</v>
      </c>
      <c r="O292" s="78">
        <f>INDEX(卡牌图鉴!$K$2:$K$53,MATCH(monster!C292,卡牌图鉴!$C$2:$C$53,0))</f>
        <v>5</v>
      </c>
    </row>
    <row r="293" spans="1:15" x14ac:dyDescent="0.15">
      <c r="A293" s="31">
        <v>1266</v>
      </c>
      <c r="B293" s="31" t="s">
        <v>353</v>
      </c>
      <c r="C293" s="31">
        <v>1261</v>
      </c>
      <c r="D293" s="15">
        <f>INDEX(卡牌图鉴!$S$2:$S$53,MATCH(monster!C293,卡牌图鉴!$C$2:$C$53,0))</f>
        <v>4</v>
      </c>
      <c r="E293" s="31">
        <v>5</v>
      </c>
      <c r="F293" s="15">
        <f>INT(INDEX(卡牌图鉴!$AB$2:$AB$53,MATCH(monster!C293,卡牌图鉴!$C$2:$C$57,0)) * INDEX(数值规划表!$B$61:$B$71,monster!E293+1) * 血量调整)</f>
        <v>765</v>
      </c>
      <c r="G293" s="15">
        <f>ROUND(INDEX(卡牌图鉴!$AB$2:$AB$53,MATCH(monster!C293,卡牌图鉴!$C$2:$C$57,0)) * INDEX(数值规划表!$D$61:$D$71,monster!E293+1)*血量调整,2)</f>
        <v>22.96</v>
      </c>
      <c r="H293" s="15">
        <f>ROUND(INDEX(卡牌图鉴!$AA$2:$AA$53,MATCH(monster!C293,卡牌图鉴!$C$2:$C$53,0)) * INDEX(数值规划表!$C$61:$C$71,monster!E293+1),2)</f>
        <v>134.59</v>
      </c>
      <c r="I293" s="15">
        <f>ROUND(INDEX(卡牌图鉴!$AA$2:$AA$53,MATCH(monster!C293,卡牌图鉴!$C$2:$C$53,0)) * INDEX(数值规划表!$E$61:$E$71,monster!E293+1),2)</f>
        <v>4.04</v>
      </c>
      <c r="J293" s="15">
        <f>INDEX(卡牌图鉴!$J$2:$J$53,MATCH(monster!C293,卡牌图鉴!$C$2:$C$53,0))</f>
        <v>1.2</v>
      </c>
      <c r="K293" s="15">
        <f>INDEX(卡牌图鉴!$S$2:$S$53,MATCH(monster!C293,卡牌图鉴!$C$2:$C$53,0))</f>
        <v>4</v>
      </c>
      <c r="L293" s="15">
        <f>INDEX(卡牌图鉴!$H$2:$H$53,MATCH(monster!C293,卡牌图鉴!$C$2:$C$53,0))</f>
        <v>1.4</v>
      </c>
      <c r="M293" s="15">
        <f>INDEX(卡牌图鉴!$L$2:$L$53,MATCH(monster!C293,卡牌图鉴!$C$2:$C$53,0))</f>
        <v>5</v>
      </c>
      <c r="N293" s="15">
        <f>INDEX(卡牌图鉴!$AD$2:$AD$53,MATCH(monster!C293,卡牌图鉴!$C$2:$C$53,0))</f>
        <v>8</v>
      </c>
      <c r="O293" s="78">
        <f>INDEX(卡牌图鉴!$K$2:$K$53,MATCH(monster!C293,卡牌图鉴!$C$2:$C$53,0))</f>
        <v>5</v>
      </c>
    </row>
    <row r="294" spans="1:15" x14ac:dyDescent="0.15">
      <c r="A294" s="31">
        <v>1267</v>
      </c>
      <c r="B294" s="31" t="s">
        <v>354</v>
      </c>
      <c r="C294" s="31">
        <v>1261</v>
      </c>
      <c r="D294" s="15">
        <f>INDEX(卡牌图鉴!$S$2:$S$53,MATCH(monster!C294,卡牌图鉴!$C$2:$C$53,0))</f>
        <v>4</v>
      </c>
      <c r="E294" s="31">
        <v>6</v>
      </c>
      <c r="F294" s="15">
        <f>INT(INDEX(卡牌图鉴!$AB$2:$AB$53,MATCH(monster!C294,卡牌图鉴!$C$2:$C$57,0)) * INDEX(数值规划表!$B$61:$B$71,monster!E294+1) * 血量调整)</f>
        <v>857</v>
      </c>
      <c r="G294" s="15">
        <f>ROUND(INDEX(卡牌图鉴!$AB$2:$AB$53,MATCH(monster!C294,卡牌图鉴!$C$2:$C$57,0)) * INDEX(数值规划表!$D$61:$D$71,monster!E294+1)*血量调整,2)</f>
        <v>25.72</v>
      </c>
      <c r="H294" s="15">
        <f>ROUND(INDEX(卡牌图鉴!$AA$2:$AA$53,MATCH(monster!C294,卡牌图鉴!$C$2:$C$53,0)) * INDEX(数值规划表!$C$61:$C$71,monster!E294+1),2)</f>
        <v>150.74</v>
      </c>
      <c r="I294" s="15">
        <f>ROUND(INDEX(卡牌图鉴!$AA$2:$AA$53,MATCH(monster!C294,卡牌图鉴!$C$2:$C$53,0)) * INDEX(数值规划表!$E$61:$E$71,monster!E294+1),2)</f>
        <v>4.5199999999999996</v>
      </c>
      <c r="J294" s="15">
        <f>INDEX(卡牌图鉴!$J$2:$J$53,MATCH(monster!C294,卡牌图鉴!$C$2:$C$53,0))</f>
        <v>1.2</v>
      </c>
      <c r="K294" s="15">
        <f>INDEX(卡牌图鉴!$S$2:$S$53,MATCH(monster!C294,卡牌图鉴!$C$2:$C$53,0))</f>
        <v>4</v>
      </c>
      <c r="L294" s="15">
        <f>INDEX(卡牌图鉴!$H$2:$H$53,MATCH(monster!C294,卡牌图鉴!$C$2:$C$53,0))</f>
        <v>1.4</v>
      </c>
      <c r="M294" s="15">
        <f>INDEX(卡牌图鉴!$L$2:$L$53,MATCH(monster!C294,卡牌图鉴!$C$2:$C$53,0))</f>
        <v>5</v>
      </c>
      <c r="N294" s="15">
        <f>INDEX(卡牌图鉴!$AD$2:$AD$53,MATCH(monster!C294,卡牌图鉴!$C$2:$C$53,0))</f>
        <v>8</v>
      </c>
      <c r="O294" s="78">
        <f>INDEX(卡牌图鉴!$K$2:$K$53,MATCH(monster!C294,卡牌图鉴!$C$2:$C$53,0))</f>
        <v>5</v>
      </c>
    </row>
    <row r="295" spans="1:15" x14ac:dyDescent="0.15">
      <c r="A295" s="31">
        <v>1268</v>
      </c>
      <c r="B295" s="31" t="s">
        <v>355</v>
      </c>
      <c r="C295" s="31">
        <v>1261</v>
      </c>
      <c r="D295" s="15">
        <f>INDEX(卡牌图鉴!$S$2:$S$53,MATCH(monster!C295,卡牌图鉴!$C$2:$C$53,0))</f>
        <v>4</v>
      </c>
      <c r="E295" s="31">
        <v>7</v>
      </c>
      <c r="F295" s="15">
        <f>INT(INDEX(卡牌图鉴!$AB$2:$AB$53,MATCH(monster!C295,卡牌图鉴!$C$2:$C$57,0)) * INDEX(数值规划表!$B$61:$B$71,monster!E295+1) * 血量调整)</f>
        <v>960</v>
      </c>
      <c r="G295" s="15">
        <f>ROUND(INDEX(卡牌图鉴!$AB$2:$AB$53,MATCH(monster!C295,卡牌图鉴!$C$2:$C$57,0)) * INDEX(数值规划表!$D$61:$D$71,monster!E295+1)*血量调整,2)</f>
        <v>28.81</v>
      </c>
      <c r="H295" s="15">
        <f>ROUND(INDEX(卡牌图鉴!$AA$2:$AA$53,MATCH(monster!C295,卡牌图鉴!$C$2:$C$53,0)) * INDEX(数值规划表!$C$61:$C$71,monster!E295+1),2)</f>
        <v>168.83</v>
      </c>
      <c r="I295" s="15">
        <f>ROUND(INDEX(卡牌图鉴!$AA$2:$AA$53,MATCH(monster!C295,卡牌图鉴!$C$2:$C$53,0)) * INDEX(数值规划表!$E$61:$E$71,monster!E295+1),2)</f>
        <v>5.0599999999999996</v>
      </c>
      <c r="J295" s="15">
        <f>INDEX(卡牌图鉴!$J$2:$J$53,MATCH(monster!C295,卡牌图鉴!$C$2:$C$53,0))</f>
        <v>1.2</v>
      </c>
      <c r="K295" s="15">
        <f>INDEX(卡牌图鉴!$S$2:$S$53,MATCH(monster!C295,卡牌图鉴!$C$2:$C$53,0))</f>
        <v>4</v>
      </c>
      <c r="L295" s="15">
        <f>INDEX(卡牌图鉴!$H$2:$H$53,MATCH(monster!C295,卡牌图鉴!$C$2:$C$53,0))</f>
        <v>1.4</v>
      </c>
      <c r="M295" s="15">
        <f>INDEX(卡牌图鉴!$L$2:$L$53,MATCH(monster!C295,卡牌图鉴!$C$2:$C$53,0))</f>
        <v>5</v>
      </c>
      <c r="N295" s="15">
        <f>INDEX(卡牌图鉴!$AD$2:$AD$53,MATCH(monster!C295,卡牌图鉴!$C$2:$C$53,0))</f>
        <v>8</v>
      </c>
      <c r="O295" s="78">
        <f>INDEX(卡牌图鉴!$K$2:$K$53,MATCH(monster!C295,卡牌图鉴!$C$2:$C$53,0))</f>
        <v>5</v>
      </c>
    </row>
    <row r="296" spans="1:15" x14ac:dyDescent="0.15">
      <c r="A296" s="31">
        <v>1269</v>
      </c>
      <c r="B296" s="31" t="s">
        <v>356</v>
      </c>
      <c r="C296" s="31">
        <v>1261</v>
      </c>
      <c r="D296" s="15">
        <f>INDEX(卡牌图鉴!$S$2:$S$53,MATCH(monster!C296,卡牌图鉴!$C$2:$C$53,0))</f>
        <v>4</v>
      </c>
      <c r="E296" s="31">
        <v>8</v>
      </c>
      <c r="F296" s="15">
        <f>INT(INDEX(卡牌图鉴!$AB$2:$AB$53,MATCH(monster!C296,卡牌图鉴!$C$2:$C$57,0)) * INDEX(数值规划表!$B$61:$B$71,monster!E296+1) * 血量调整)</f>
        <v>1075</v>
      </c>
      <c r="G296" s="15">
        <f>ROUND(INDEX(卡牌图鉴!$AB$2:$AB$53,MATCH(monster!C296,卡牌图鉴!$C$2:$C$57,0)) * INDEX(数值规划表!$D$61:$D$71,monster!E296+1)*血量调整,2)</f>
        <v>32.26</v>
      </c>
      <c r="H296" s="15">
        <f>ROUND(INDEX(卡牌图鉴!$AA$2:$AA$53,MATCH(monster!C296,卡牌图鉴!$C$2:$C$53,0)) * INDEX(数值规划表!$C$61:$C$71,monster!E296+1),2)</f>
        <v>189.09</v>
      </c>
      <c r="I296" s="15">
        <f>ROUND(INDEX(卡牌图鉴!$AA$2:$AA$53,MATCH(monster!C296,卡牌图鉴!$C$2:$C$53,0)) * INDEX(数值规划表!$E$61:$E$71,monster!E296+1),2)</f>
        <v>5.67</v>
      </c>
      <c r="J296" s="15">
        <f>INDEX(卡牌图鉴!$J$2:$J$53,MATCH(monster!C296,卡牌图鉴!$C$2:$C$53,0))</f>
        <v>1.2</v>
      </c>
      <c r="K296" s="15">
        <f>INDEX(卡牌图鉴!$S$2:$S$53,MATCH(monster!C296,卡牌图鉴!$C$2:$C$53,0))</f>
        <v>4</v>
      </c>
      <c r="L296" s="15">
        <f>INDEX(卡牌图鉴!$H$2:$H$53,MATCH(monster!C296,卡牌图鉴!$C$2:$C$53,0))</f>
        <v>1.4</v>
      </c>
      <c r="M296" s="15">
        <f>INDEX(卡牌图鉴!$L$2:$L$53,MATCH(monster!C296,卡牌图鉴!$C$2:$C$53,0))</f>
        <v>5</v>
      </c>
      <c r="N296" s="15">
        <f>INDEX(卡牌图鉴!$AD$2:$AD$53,MATCH(monster!C296,卡牌图鉴!$C$2:$C$53,0))</f>
        <v>8</v>
      </c>
      <c r="O296" s="78">
        <f>INDEX(卡牌图鉴!$K$2:$K$53,MATCH(monster!C296,卡牌图鉴!$C$2:$C$53,0))</f>
        <v>5</v>
      </c>
    </row>
    <row r="297" spans="1:15" x14ac:dyDescent="0.15">
      <c r="A297" s="31">
        <v>1270</v>
      </c>
      <c r="B297" s="31" t="s">
        <v>357</v>
      </c>
      <c r="C297" s="31">
        <v>1261</v>
      </c>
      <c r="D297" s="15">
        <f>INDEX(卡牌图鉴!$S$2:$S$53,MATCH(monster!C297,卡牌图鉴!$C$2:$C$53,0))</f>
        <v>4</v>
      </c>
      <c r="E297" s="31">
        <v>9</v>
      </c>
      <c r="F297" s="15">
        <f>INT(INDEX(卡牌图鉴!$AB$2:$AB$53,MATCH(monster!C297,卡牌图鉴!$C$2:$C$57,0)) * INDEX(数值规划表!$B$61:$B$71,monster!E297+1) * 血量调整)</f>
        <v>1204</v>
      </c>
      <c r="G297" s="15">
        <f>ROUND(INDEX(卡牌图鉴!$AB$2:$AB$53,MATCH(monster!C297,卡牌图鉴!$C$2:$C$57,0)) * INDEX(数值规划表!$D$61:$D$71,monster!E297+1)*血量调整,2)</f>
        <v>36.130000000000003</v>
      </c>
      <c r="H297" s="15">
        <f>ROUND(INDEX(卡牌图鉴!$AA$2:$AA$53,MATCH(monster!C297,卡牌图鉴!$C$2:$C$53,0)) * INDEX(数值规划表!$C$61:$C$71,monster!E297+1),2)</f>
        <v>211.78</v>
      </c>
      <c r="I297" s="15">
        <f>ROUND(INDEX(卡牌图鉴!$AA$2:$AA$53,MATCH(monster!C297,卡牌图鉴!$C$2:$C$53,0)) * INDEX(数值规划表!$E$61:$E$71,monster!E297+1),2)</f>
        <v>6.35</v>
      </c>
      <c r="J297" s="15">
        <f>INDEX(卡牌图鉴!$J$2:$J$53,MATCH(monster!C297,卡牌图鉴!$C$2:$C$53,0))</f>
        <v>1.2</v>
      </c>
      <c r="K297" s="15">
        <f>INDEX(卡牌图鉴!$S$2:$S$53,MATCH(monster!C297,卡牌图鉴!$C$2:$C$53,0))</f>
        <v>4</v>
      </c>
      <c r="L297" s="15">
        <f>INDEX(卡牌图鉴!$H$2:$H$53,MATCH(monster!C297,卡牌图鉴!$C$2:$C$53,0))</f>
        <v>1.4</v>
      </c>
      <c r="M297" s="15">
        <f>INDEX(卡牌图鉴!$L$2:$L$53,MATCH(monster!C297,卡牌图鉴!$C$2:$C$53,0))</f>
        <v>5</v>
      </c>
      <c r="N297" s="15">
        <f>INDEX(卡牌图鉴!$AD$2:$AD$53,MATCH(monster!C297,卡牌图鉴!$C$2:$C$53,0))</f>
        <v>8</v>
      </c>
      <c r="O297" s="78">
        <f>INDEX(卡牌图鉴!$K$2:$K$53,MATCH(monster!C297,卡牌图鉴!$C$2:$C$53,0))</f>
        <v>5</v>
      </c>
    </row>
    <row r="298" spans="1:15" x14ac:dyDescent="0.15">
      <c r="A298" s="31">
        <v>1271</v>
      </c>
      <c r="B298" s="31" t="s">
        <v>358</v>
      </c>
      <c r="C298" s="31">
        <v>1261</v>
      </c>
      <c r="D298" s="15">
        <f>INDEX(卡牌图鉴!$S$2:$S$53,MATCH(monster!C298,卡牌图鉴!$C$2:$C$53,0))</f>
        <v>4</v>
      </c>
      <c r="E298" s="31">
        <v>10</v>
      </c>
      <c r="F298" s="15">
        <f>INT(INDEX(卡牌图鉴!$AB$2:$AB$53,MATCH(monster!C298,卡牌图鉴!$C$2:$C$57,0)) * INDEX(数值规划表!$B$61:$B$71,monster!E298+1) * 血量调整)</f>
        <v>1348</v>
      </c>
      <c r="G298" s="15">
        <f>ROUND(INDEX(卡牌图鉴!$AB$2:$AB$53,MATCH(monster!C298,卡牌图鉴!$C$2:$C$57,0)) * INDEX(数值规划表!$D$61:$D$71,monster!E298+1)*血量调整,2)</f>
        <v>40.47</v>
      </c>
      <c r="H298" s="15">
        <f>ROUND(INDEX(卡牌图鉴!$AA$2:$AA$53,MATCH(monster!C298,卡牌图鉴!$C$2:$C$53,0)) * INDEX(数值规划表!$C$61:$C$71,monster!E298+1),2)</f>
        <v>237.19</v>
      </c>
      <c r="I298" s="15">
        <f>ROUND(INDEX(卡牌图鉴!$AA$2:$AA$53,MATCH(monster!C298,卡牌图鉴!$C$2:$C$53,0)) * INDEX(数值规划表!$E$61:$E$71,monster!E298+1),2)</f>
        <v>7.12</v>
      </c>
      <c r="J298" s="15">
        <f>INDEX(卡牌图鉴!$J$2:$J$53,MATCH(monster!C298,卡牌图鉴!$C$2:$C$53,0))</f>
        <v>1.2</v>
      </c>
      <c r="K298" s="15">
        <f>INDEX(卡牌图鉴!$S$2:$S$53,MATCH(monster!C298,卡牌图鉴!$C$2:$C$53,0))</f>
        <v>4</v>
      </c>
      <c r="L298" s="15">
        <f>INDEX(卡牌图鉴!$H$2:$H$53,MATCH(monster!C298,卡牌图鉴!$C$2:$C$53,0))</f>
        <v>1.4</v>
      </c>
      <c r="M298" s="15">
        <f>INDEX(卡牌图鉴!$L$2:$L$53,MATCH(monster!C298,卡牌图鉴!$C$2:$C$53,0))</f>
        <v>5</v>
      </c>
      <c r="N298" s="15">
        <f>INDEX(卡牌图鉴!$AD$2:$AD$53,MATCH(monster!C298,卡牌图鉴!$C$2:$C$53,0))</f>
        <v>8</v>
      </c>
      <c r="O298" s="78">
        <f>INDEX(卡牌图鉴!$K$2:$K$53,MATCH(monster!C298,卡牌图鉴!$C$2:$C$53,0))</f>
        <v>5</v>
      </c>
    </row>
    <row r="299" spans="1:15" x14ac:dyDescent="0.15">
      <c r="A299" s="31">
        <v>1550</v>
      </c>
      <c r="B299" s="31" t="s">
        <v>1452</v>
      </c>
      <c r="C299" s="31">
        <v>1550</v>
      </c>
      <c r="D299" s="15">
        <f>INDEX(卡牌图鉴!$S$2:$S$53,MATCH(monster!C299,卡牌图鉴!$C$2:$C$53,0))</f>
        <v>3</v>
      </c>
      <c r="E299" s="31">
        <v>0</v>
      </c>
      <c r="F299" s="15">
        <f>INT(INDEX(卡牌图鉴!$AB$2:$AB$53,MATCH(monster!C299,卡牌图鉴!$C$2:$C$57,0)) * INDEX(数值规划表!$B$61:$B$71,monster!E299+1) * 血量调整)</f>
        <v>161</v>
      </c>
      <c r="G299" s="15">
        <f>ROUND(INDEX(卡牌图鉴!$AB$2:$AB$53,MATCH(monster!C299,卡牌图鉴!$C$2:$C$57,0)) * INDEX(数值规划表!$D$61:$D$71,monster!E299+1)*血量调整,2)</f>
        <v>4.8499999999999996</v>
      </c>
      <c r="H299" s="15">
        <f>ROUND(INDEX(卡牌图鉴!$AA$2:$AA$53,MATCH(monster!C299,卡牌图鉴!$C$2:$C$53,0)) * INDEX(数值规划表!$C$61:$C$71,monster!E299+1),2)</f>
        <v>57.78</v>
      </c>
      <c r="I299" s="15">
        <f>ROUND(INDEX(卡牌图鉴!$AA$2:$AA$53,MATCH(monster!C299,卡牌图鉴!$C$2:$C$53,0)) * INDEX(数值规划表!$E$61:$E$71,monster!E299+1),2)</f>
        <v>1.73</v>
      </c>
      <c r="J299" s="15">
        <f>INDEX(卡牌图鉴!$J$2:$J$53,MATCH(monster!C299,卡牌图鉴!$C$2:$C$53,0))</f>
        <v>4.5</v>
      </c>
      <c r="K299" s="15">
        <f>INDEX(卡牌图鉴!$S$2:$S$53,MATCH(monster!C299,卡牌图鉴!$C$2:$C$53,0))</f>
        <v>3</v>
      </c>
      <c r="L299" s="15">
        <f>INDEX(卡牌图鉴!$H$2:$H$53,MATCH(monster!C299,卡牌图鉴!$C$2:$C$53,0))</f>
        <v>1.4</v>
      </c>
      <c r="M299" s="15">
        <f>INDEX(卡牌图鉴!$L$2:$L$53,MATCH(monster!C299,卡牌图鉴!$C$2:$C$53,0))</f>
        <v>3</v>
      </c>
      <c r="N299" s="15">
        <f>INDEX(卡牌图鉴!$AD$2:$AD$53,MATCH(monster!C299,卡牌图鉴!$C$2:$C$53,0))</f>
        <v>8</v>
      </c>
      <c r="O299" s="78">
        <f>INDEX(卡牌图鉴!$K$2:$K$53,MATCH(monster!C299,卡牌图鉴!$C$2:$C$53,0))</f>
        <v>3</v>
      </c>
    </row>
    <row r="300" spans="1:15" x14ac:dyDescent="0.15">
      <c r="A300" s="31">
        <v>1551</v>
      </c>
      <c r="B300" s="31" t="s">
        <v>1453</v>
      </c>
      <c r="C300" s="31">
        <v>1550</v>
      </c>
      <c r="D300" s="15">
        <f>INDEX(卡牌图鉴!$S$2:$S$53,MATCH(monster!C300,卡牌图鉴!$C$2:$C$53,0))</f>
        <v>3</v>
      </c>
      <c r="E300" s="31">
        <v>1</v>
      </c>
      <c r="F300" s="15">
        <f>INT(INDEX(卡牌图鉴!$AB$2:$AB$53,MATCH(monster!C300,卡牌图鉴!$C$2:$C$57,0)) * INDEX(数值规划表!$B$61:$B$71,monster!E300+1) * 血量调整)</f>
        <v>181</v>
      </c>
      <c r="G300" s="15">
        <f>ROUND(INDEX(卡牌图鉴!$AB$2:$AB$53,MATCH(monster!C300,卡牌图鉴!$C$2:$C$57,0)) * INDEX(数值规划表!$D$61:$D$71,monster!E300+1)*血量调整,2)</f>
        <v>5.44</v>
      </c>
      <c r="H300" s="15">
        <f>ROUND(INDEX(卡牌图鉴!$AA$2:$AA$53,MATCH(monster!C300,卡牌图鉴!$C$2:$C$53,0)) * INDEX(数值规划表!$C$61:$C$71,monster!E300+1),2)</f>
        <v>64.709999999999994</v>
      </c>
      <c r="I300" s="15">
        <f>ROUND(INDEX(卡牌图鉴!$AA$2:$AA$53,MATCH(monster!C300,卡牌图鉴!$C$2:$C$53,0)) * INDEX(数值规划表!$E$61:$E$71,monster!E300+1),2)</f>
        <v>1.94</v>
      </c>
      <c r="J300" s="15">
        <f>INDEX(卡牌图鉴!$J$2:$J$53,MATCH(monster!C300,卡牌图鉴!$C$2:$C$53,0))</f>
        <v>4.5</v>
      </c>
      <c r="K300" s="15">
        <f>INDEX(卡牌图鉴!$S$2:$S$53,MATCH(monster!C300,卡牌图鉴!$C$2:$C$53,0))</f>
        <v>3</v>
      </c>
      <c r="L300" s="15">
        <f>INDEX(卡牌图鉴!$H$2:$H$53,MATCH(monster!C300,卡牌图鉴!$C$2:$C$53,0))</f>
        <v>1.4</v>
      </c>
      <c r="M300" s="15">
        <f>INDEX(卡牌图鉴!$L$2:$L$53,MATCH(monster!C300,卡牌图鉴!$C$2:$C$53,0))</f>
        <v>3</v>
      </c>
      <c r="N300" s="15">
        <f>INDEX(卡牌图鉴!$AD$2:$AD$53,MATCH(monster!C300,卡牌图鉴!$C$2:$C$53,0))</f>
        <v>8</v>
      </c>
      <c r="O300" s="78">
        <f>INDEX(卡牌图鉴!$K$2:$K$53,MATCH(monster!C300,卡牌图鉴!$C$2:$C$53,0))</f>
        <v>3</v>
      </c>
    </row>
    <row r="301" spans="1:15" x14ac:dyDescent="0.15">
      <c r="A301" s="31">
        <v>1560</v>
      </c>
      <c r="B301" s="31" t="s">
        <v>586</v>
      </c>
      <c r="C301" s="31">
        <v>1550</v>
      </c>
      <c r="D301" s="15">
        <f>INDEX(卡牌图鉴!$S$2:$S$53,MATCH(monster!C301,卡牌图鉴!$C$2:$C$53,0))</f>
        <v>3</v>
      </c>
      <c r="E301" s="31">
        <v>10</v>
      </c>
      <c r="F301" s="15">
        <f>INT(INDEX(卡牌图鉴!$AB$2:$AB$53,MATCH(monster!C301,卡牌图鉴!$C$2:$C$57,0)) * INDEX(数值规划表!$B$61:$B$71,monster!E301+1) * 血量调整)</f>
        <v>502</v>
      </c>
      <c r="G301" s="15">
        <f>ROUND(INDEX(卡牌图鉴!$AB$2:$AB$53,MATCH(monster!C301,卡牌图鉴!$C$2:$C$57,0)) * INDEX(数值规划表!$D$61:$D$71,monster!E301+1)*血量调整,2)</f>
        <v>15.07</v>
      </c>
      <c r="H301" s="15">
        <f>ROUND(INDEX(卡牌图鉴!$AA$2:$AA$53,MATCH(monster!C301,卡牌图鉴!$C$2:$C$53,0)) * INDEX(数值规划表!$C$61:$C$71,monster!E301+1),2)</f>
        <v>179.46</v>
      </c>
      <c r="I301" s="15">
        <f>ROUND(INDEX(卡牌图鉴!$AA$2:$AA$53,MATCH(monster!C301,卡牌图鉴!$C$2:$C$53,0)) * INDEX(数值规划表!$E$61:$E$71,monster!E301+1),2)</f>
        <v>5.38</v>
      </c>
      <c r="J301" s="15">
        <f>INDEX(卡牌图鉴!$J$2:$J$53,MATCH(monster!C301,卡牌图鉴!$C$2:$C$53,0))</f>
        <v>4.5</v>
      </c>
      <c r="K301" s="15">
        <f>INDEX(卡牌图鉴!$S$2:$S$53,MATCH(monster!C301,卡牌图鉴!$C$2:$C$53,0))</f>
        <v>3</v>
      </c>
      <c r="L301" s="15">
        <f>INDEX(卡牌图鉴!$H$2:$H$53,MATCH(monster!C301,卡牌图鉴!$C$2:$C$53,0))</f>
        <v>1.4</v>
      </c>
      <c r="M301" s="15">
        <f>INDEX(卡牌图鉴!$L$2:$L$53,MATCH(monster!C301,卡牌图鉴!$C$2:$C$53,0))</f>
        <v>3</v>
      </c>
      <c r="N301" s="15">
        <f>INDEX(卡牌图鉴!$AD$2:$AD$53,MATCH(monster!C301,卡牌图鉴!$C$2:$C$53,0))</f>
        <v>8</v>
      </c>
      <c r="O301" s="78">
        <f>INDEX(卡牌图鉴!$K$2:$K$53,MATCH(monster!C301,卡牌图鉴!$C$2:$C$53,0))</f>
        <v>3</v>
      </c>
    </row>
    <row r="302" spans="1:15" x14ac:dyDescent="0.15">
      <c r="A302" s="31">
        <v>1552</v>
      </c>
      <c r="B302" s="31" t="s">
        <v>578</v>
      </c>
      <c r="C302" s="31">
        <v>1550</v>
      </c>
      <c r="D302" s="15">
        <f>INDEX(卡牌图鉴!$S$2:$S$53,MATCH(monster!C302,卡牌图鉴!$C$2:$C$53,0))</f>
        <v>3</v>
      </c>
      <c r="E302" s="31">
        <v>2</v>
      </c>
      <c r="F302" s="15">
        <f>INT(INDEX(卡牌图鉴!$AB$2:$AB$53,MATCH(monster!C302,卡牌图鉴!$C$2:$C$57,0)) * INDEX(数值规划表!$B$61:$B$71,monster!E302+1) * 血量调整)</f>
        <v>202</v>
      </c>
      <c r="G302" s="15">
        <f>ROUND(INDEX(卡牌图鉴!$AB$2:$AB$53,MATCH(monster!C302,卡牌图鉴!$C$2:$C$57,0)) * INDEX(数值规划表!$D$61:$D$71,monster!E302+1)*血量调整,2)</f>
        <v>6.09</v>
      </c>
      <c r="H302" s="15">
        <f>ROUND(INDEX(卡牌图鉴!$AA$2:$AA$53,MATCH(monster!C302,卡牌图鉴!$C$2:$C$53,0)) * INDEX(数值规划表!$C$61:$C$71,monster!E302+1),2)</f>
        <v>72.48</v>
      </c>
      <c r="I302" s="15">
        <f>ROUND(INDEX(卡牌图鉴!$AA$2:$AA$53,MATCH(monster!C302,卡牌图鉴!$C$2:$C$53,0)) * INDEX(数值规划表!$E$61:$E$71,monster!E302+1),2)</f>
        <v>2.17</v>
      </c>
      <c r="J302" s="15">
        <f>INDEX(卡牌图鉴!$J$2:$J$53,MATCH(monster!C302,卡牌图鉴!$C$2:$C$53,0))</f>
        <v>4.5</v>
      </c>
      <c r="K302" s="15">
        <f>INDEX(卡牌图鉴!$S$2:$S$53,MATCH(monster!C302,卡牌图鉴!$C$2:$C$53,0))</f>
        <v>3</v>
      </c>
      <c r="L302" s="15">
        <f>INDEX(卡牌图鉴!$H$2:$H$53,MATCH(monster!C302,卡牌图鉴!$C$2:$C$53,0))</f>
        <v>1.4</v>
      </c>
      <c r="M302" s="15">
        <f>INDEX(卡牌图鉴!$L$2:$L$53,MATCH(monster!C302,卡牌图鉴!$C$2:$C$53,0))</f>
        <v>3</v>
      </c>
      <c r="N302" s="15">
        <f>INDEX(卡牌图鉴!$AD$2:$AD$53,MATCH(monster!C302,卡牌图鉴!$C$2:$C$53,0))</f>
        <v>8</v>
      </c>
      <c r="O302" s="78">
        <f>INDEX(卡牌图鉴!$K$2:$K$53,MATCH(monster!C302,卡牌图鉴!$C$2:$C$53,0))</f>
        <v>3</v>
      </c>
    </row>
    <row r="303" spans="1:15" x14ac:dyDescent="0.15">
      <c r="A303" s="31">
        <v>1553</v>
      </c>
      <c r="B303" s="31" t="s">
        <v>579</v>
      </c>
      <c r="C303" s="31">
        <v>1550</v>
      </c>
      <c r="D303" s="15">
        <f>INDEX(卡牌图鉴!$S$2:$S$53,MATCH(monster!C303,卡牌图鉴!$C$2:$C$53,0))</f>
        <v>3</v>
      </c>
      <c r="E303" s="31">
        <v>3</v>
      </c>
      <c r="F303" s="15">
        <f>INT(INDEX(卡牌图鉴!$AB$2:$AB$53,MATCH(monster!C303,卡牌图鉴!$C$2:$C$57,0)) * INDEX(数值规划表!$B$61:$B$71,monster!E303+1) * 血量调整)</f>
        <v>227</v>
      </c>
      <c r="G303" s="15">
        <f>ROUND(INDEX(卡牌图鉴!$AB$2:$AB$53,MATCH(monster!C303,卡牌图鉴!$C$2:$C$57,0)) * INDEX(数值规划表!$D$61:$D$71,monster!E303+1)*血量调整,2)</f>
        <v>6.82</v>
      </c>
      <c r="H303" s="15">
        <f>ROUND(INDEX(卡牌图鉴!$AA$2:$AA$53,MATCH(monster!C303,卡牌图鉴!$C$2:$C$53,0)) * INDEX(数值规划表!$C$61:$C$71,monster!E303+1),2)</f>
        <v>81.180000000000007</v>
      </c>
      <c r="I303" s="15">
        <f>ROUND(INDEX(卡牌图鉴!$AA$2:$AA$53,MATCH(monster!C303,卡牌图鉴!$C$2:$C$53,0)) * INDEX(数值规划表!$E$61:$E$71,monster!E303+1),2)</f>
        <v>2.44</v>
      </c>
      <c r="J303" s="15">
        <f>INDEX(卡牌图鉴!$J$2:$J$53,MATCH(monster!C303,卡牌图鉴!$C$2:$C$53,0))</f>
        <v>4.5</v>
      </c>
      <c r="K303" s="15">
        <f>INDEX(卡牌图鉴!$S$2:$S$53,MATCH(monster!C303,卡牌图鉴!$C$2:$C$53,0))</f>
        <v>3</v>
      </c>
      <c r="L303" s="15">
        <f>INDEX(卡牌图鉴!$H$2:$H$53,MATCH(monster!C303,卡牌图鉴!$C$2:$C$53,0))</f>
        <v>1.4</v>
      </c>
      <c r="M303" s="15">
        <f>INDEX(卡牌图鉴!$L$2:$L$53,MATCH(monster!C303,卡牌图鉴!$C$2:$C$53,0))</f>
        <v>3</v>
      </c>
      <c r="N303" s="15">
        <f>INDEX(卡牌图鉴!$AD$2:$AD$53,MATCH(monster!C303,卡牌图鉴!$C$2:$C$53,0))</f>
        <v>8</v>
      </c>
      <c r="O303" s="78">
        <f>INDEX(卡牌图鉴!$K$2:$K$53,MATCH(monster!C303,卡牌图鉴!$C$2:$C$53,0))</f>
        <v>3</v>
      </c>
    </row>
    <row r="304" spans="1:15" x14ac:dyDescent="0.15">
      <c r="A304" s="31">
        <v>1554</v>
      </c>
      <c r="B304" s="31" t="s">
        <v>580</v>
      </c>
      <c r="C304" s="31">
        <v>1550</v>
      </c>
      <c r="D304" s="15">
        <f>INDEX(卡牌图鉴!$S$2:$S$53,MATCH(monster!C304,卡牌图鉴!$C$2:$C$53,0))</f>
        <v>3</v>
      </c>
      <c r="E304" s="31">
        <v>4</v>
      </c>
      <c r="F304" s="15">
        <f>INT(INDEX(卡牌图鉴!$AB$2:$AB$53,MATCH(monster!C304,卡牌图鉴!$C$2:$C$57,0)) * INDEX(数值规划表!$B$61:$B$71,monster!E304+1) * 血量调整)</f>
        <v>254</v>
      </c>
      <c r="G304" s="15">
        <f>ROUND(INDEX(卡牌图鉴!$AB$2:$AB$53,MATCH(monster!C304,卡牌图鉴!$C$2:$C$57,0)) * INDEX(数值规划表!$D$61:$D$71,monster!E304+1)*血量调整,2)</f>
        <v>7.64</v>
      </c>
      <c r="H304" s="15">
        <f>ROUND(INDEX(卡牌图鉴!$AA$2:$AA$53,MATCH(monster!C304,卡牌图鉴!$C$2:$C$53,0)) * INDEX(数值规划表!$C$61:$C$71,monster!E304+1),2)</f>
        <v>90.92</v>
      </c>
      <c r="I304" s="15">
        <f>ROUND(INDEX(卡牌图鉴!$AA$2:$AA$53,MATCH(monster!C304,卡牌图鉴!$C$2:$C$53,0)) * INDEX(数值规划表!$E$61:$E$71,monster!E304+1),2)</f>
        <v>2.73</v>
      </c>
      <c r="J304" s="15">
        <f>INDEX(卡牌图鉴!$J$2:$J$53,MATCH(monster!C304,卡牌图鉴!$C$2:$C$53,0))</f>
        <v>4.5</v>
      </c>
      <c r="K304" s="15">
        <f>INDEX(卡牌图鉴!$S$2:$S$53,MATCH(monster!C304,卡牌图鉴!$C$2:$C$53,0))</f>
        <v>3</v>
      </c>
      <c r="L304" s="15">
        <f>INDEX(卡牌图鉴!$H$2:$H$53,MATCH(monster!C304,卡牌图鉴!$C$2:$C$53,0))</f>
        <v>1.4</v>
      </c>
      <c r="M304" s="15">
        <f>INDEX(卡牌图鉴!$L$2:$L$53,MATCH(monster!C304,卡牌图鉴!$C$2:$C$53,0))</f>
        <v>3</v>
      </c>
      <c r="N304" s="15">
        <f>INDEX(卡牌图鉴!$AD$2:$AD$53,MATCH(monster!C304,卡牌图鉴!$C$2:$C$53,0))</f>
        <v>8</v>
      </c>
      <c r="O304" s="78">
        <f>INDEX(卡牌图鉴!$K$2:$K$53,MATCH(monster!C304,卡牌图鉴!$C$2:$C$53,0))</f>
        <v>3</v>
      </c>
    </row>
    <row r="305" spans="1:15" x14ac:dyDescent="0.15">
      <c r="A305" s="31">
        <v>1555</v>
      </c>
      <c r="B305" s="31" t="s">
        <v>581</v>
      </c>
      <c r="C305" s="31">
        <v>1550</v>
      </c>
      <c r="D305" s="15">
        <f>INDEX(卡牌图鉴!$S$2:$S$53,MATCH(monster!C305,卡牌图鉴!$C$2:$C$53,0))</f>
        <v>3</v>
      </c>
      <c r="E305" s="31">
        <v>5</v>
      </c>
      <c r="F305" s="15">
        <f>INT(INDEX(卡牌图鉴!$AB$2:$AB$53,MATCH(monster!C305,卡牌图鉴!$C$2:$C$57,0)) * INDEX(数值规划表!$B$61:$B$71,monster!E305+1) * 血量调整)</f>
        <v>285</v>
      </c>
      <c r="G305" s="15">
        <f>ROUND(INDEX(卡牌图鉴!$AB$2:$AB$53,MATCH(monster!C305,卡牌图鉴!$C$2:$C$57,0)) * INDEX(数值规划表!$D$61:$D$71,monster!E305+1)*血量调整,2)</f>
        <v>8.5500000000000007</v>
      </c>
      <c r="H305" s="15">
        <f>ROUND(INDEX(卡牌图鉴!$AA$2:$AA$53,MATCH(monster!C305,卡牌图鉴!$C$2:$C$53,0)) * INDEX(数值规划表!$C$61:$C$71,monster!E305+1),2)</f>
        <v>101.83</v>
      </c>
      <c r="I305" s="15">
        <f>ROUND(INDEX(卡牌图鉴!$AA$2:$AA$53,MATCH(monster!C305,卡牌图鉴!$C$2:$C$53,0)) * INDEX(数值规划表!$E$61:$E$71,monster!E305+1),2)</f>
        <v>3.05</v>
      </c>
      <c r="J305" s="15">
        <f>INDEX(卡牌图鉴!$J$2:$J$53,MATCH(monster!C305,卡牌图鉴!$C$2:$C$53,0))</f>
        <v>4.5</v>
      </c>
      <c r="K305" s="15">
        <f>INDEX(卡牌图鉴!$S$2:$S$53,MATCH(monster!C305,卡牌图鉴!$C$2:$C$53,0))</f>
        <v>3</v>
      </c>
      <c r="L305" s="15">
        <f>INDEX(卡牌图鉴!$H$2:$H$53,MATCH(monster!C305,卡牌图鉴!$C$2:$C$53,0))</f>
        <v>1.4</v>
      </c>
      <c r="M305" s="15">
        <f>INDEX(卡牌图鉴!$L$2:$L$53,MATCH(monster!C305,卡牌图鉴!$C$2:$C$53,0))</f>
        <v>3</v>
      </c>
      <c r="N305" s="15">
        <f>INDEX(卡牌图鉴!$AD$2:$AD$53,MATCH(monster!C305,卡牌图鉴!$C$2:$C$53,0))</f>
        <v>8</v>
      </c>
      <c r="O305" s="78">
        <f>INDEX(卡牌图鉴!$K$2:$K$53,MATCH(monster!C305,卡牌图鉴!$C$2:$C$53,0))</f>
        <v>3</v>
      </c>
    </row>
    <row r="306" spans="1:15" x14ac:dyDescent="0.15">
      <c r="A306" s="31">
        <v>1556</v>
      </c>
      <c r="B306" s="31" t="s">
        <v>582</v>
      </c>
      <c r="C306" s="31">
        <v>1550</v>
      </c>
      <c r="D306" s="15">
        <f>INDEX(卡牌图鉴!$S$2:$S$53,MATCH(monster!C306,卡牌图鉴!$C$2:$C$53,0))</f>
        <v>3</v>
      </c>
      <c r="E306" s="31">
        <v>6</v>
      </c>
      <c r="F306" s="15">
        <f>INT(INDEX(卡牌图鉴!$AB$2:$AB$53,MATCH(monster!C306,卡牌图鉴!$C$2:$C$57,0)) * INDEX(数值规划表!$B$61:$B$71,monster!E306+1) * 血量调整)</f>
        <v>319</v>
      </c>
      <c r="G306" s="15">
        <f>ROUND(INDEX(卡牌图鉴!$AB$2:$AB$53,MATCH(monster!C306,卡牌图鉴!$C$2:$C$57,0)) * INDEX(数值规划表!$D$61:$D$71,monster!E306+1)*血量调整,2)</f>
        <v>9.58</v>
      </c>
      <c r="H306" s="15">
        <f>ROUND(INDEX(卡牌图鉴!$AA$2:$AA$53,MATCH(monster!C306,卡牌图鉴!$C$2:$C$53,0)) * INDEX(数值规划表!$C$61:$C$71,monster!E306+1),2)</f>
        <v>114.05</v>
      </c>
      <c r="I306" s="15">
        <f>ROUND(INDEX(卡牌图鉴!$AA$2:$AA$53,MATCH(monster!C306,卡牌图鉴!$C$2:$C$53,0)) * INDEX(数值规划表!$E$61:$E$71,monster!E306+1),2)</f>
        <v>3.42</v>
      </c>
      <c r="J306" s="15">
        <f>INDEX(卡牌图鉴!$J$2:$J$53,MATCH(monster!C306,卡牌图鉴!$C$2:$C$53,0))</f>
        <v>4.5</v>
      </c>
      <c r="K306" s="15">
        <f>INDEX(卡牌图鉴!$S$2:$S$53,MATCH(monster!C306,卡牌图鉴!$C$2:$C$53,0))</f>
        <v>3</v>
      </c>
      <c r="L306" s="15">
        <f>INDEX(卡牌图鉴!$H$2:$H$53,MATCH(monster!C306,卡牌图鉴!$C$2:$C$53,0))</f>
        <v>1.4</v>
      </c>
      <c r="M306" s="15">
        <f>INDEX(卡牌图鉴!$L$2:$L$53,MATCH(monster!C306,卡牌图鉴!$C$2:$C$53,0))</f>
        <v>3</v>
      </c>
      <c r="N306" s="15">
        <f>INDEX(卡牌图鉴!$AD$2:$AD$53,MATCH(monster!C306,卡牌图鉴!$C$2:$C$53,0))</f>
        <v>8</v>
      </c>
      <c r="O306" s="78">
        <f>INDEX(卡牌图鉴!$K$2:$K$53,MATCH(monster!C306,卡牌图鉴!$C$2:$C$53,0))</f>
        <v>3</v>
      </c>
    </row>
    <row r="307" spans="1:15" x14ac:dyDescent="0.15">
      <c r="A307" s="31">
        <v>1557</v>
      </c>
      <c r="B307" s="31" t="s">
        <v>583</v>
      </c>
      <c r="C307" s="31">
        <v>1550</v>
      </c>
      <c r="D307" s="15">
        <f>INDEX(卡牌图鉴!$S$2:$S$53,MATCH(monster!C307,卡牌图鉴!$C$2:$C$53,0))</f>
        <v>3</v>
      </c>
      <c r="E307" s="31">
        <v>7</v>
      </c>
      <c r="F307" s="15">
        <f>INT(INDEX(卡牌图鉴!$AB$2:$AB$53,MATCH(monster!C307,卡牌图鉴!$C$2:$C$57,0)) * INDEX(数值规划表!$B$61:$B$71,monster!E307+1) * 血量调整)</f>
        <v>357</v>
      </c>
      <c r="G307" s="15">
        <f>ROUND(INDEX(卡牌图鉴!$AB$2:$AB$53,MATCH(monster!C307,卡牌图鉴!$C$2:$C$57,0)) * INDEX(数值规划表!$D$61:$D$71,monster!E307+1)*血量调整,2)</f>
        <v>10.73</v>
      </c>
      <c r="H307" s="15">
        <f>ROUND(INDEX(卡牌图鉴!$AA$2:$AA$53,MATCH(monster!C307,卡牌图鉴!$C$2:$C$53,0)) * INDEX(数值规划表!$C$61:$C$71,monster!E307+1),2)</f>
        <v>127.73</v>
      </c>
      <c r="I307" s="15">
        <f>ROUND(INDEX(卡牌图鉴!$AA$2:$AA$53,MATCH(monster!C307,卡牌图鉴!$C$2:$C$53,0)) * INDEX(数值规划表!$E$61:$E$71,monster!E307+1),2)</f>
        <v>3.83</v>
      </c>
      <c r="J307" s="15">
        <f>INDEX(卡牌图鉴!$J$2:$J$53,MATCH(monster!C307,卡牌图鉴!$C$2:$C$53,0))</f>
        <v>4.5</v>
      </c>
      <c r="K307" s="15">
        <f>INDEX(卡牌图鉴!$S$2:$S$53,MATCH(monster!C307,卡牌图鉴!$C$2:$C$53,0))</f>
        <v>3</v>
      </c>
      <c r="L307" s="15">
        <f>INDEX(卡牌图鉴!$H$2:$H$53,MATCH(monster!C307,卡牌图鉴!$C$2:$C$53,0))</f>
        <v>1.4</v>
      </c>
      <c r="M307" s="15">
        <f>INDEX(卡牌图鉴!$L$2:$L$53,MATCH(monster!C307,卡牌图鉴!$C$2:$C$53,0))</f>
        <v>3</v>
      </c>
      <c r="N307" s="15">
        <f>INDEX(卡牌图鉴!$AD$2:$AD$53,MATCH(monster!C307,卡牌图鉴!$C$2:$C$53,0))</f>
        <v>8</v>
      </c>
      <c r="O307" s="78">
        <f>INDEX(卡牌图鉴!$K$2:$K$53,MATCH(monster!C307,卡牌图鉴!$C$2:$C$53,0))</f>
        <v>3</v>
      </c>
    </row>
    <row r="308" spans="1:15" x14ac:dyDescent="0.15">
      <c r="A308" s="31">
        <v>1558</v>
      </c>
      <c r="B308" s="31" t="s">
        <v>584</v>
      </c>
      <c r="C308" s="31">
        <v>1550</v>
      </c>
      <c r="D308" s="15">
        <f>INDEX(卡牌图鉴!$S$2:$S$53,MATCH(monster!C308,卡牌图鉴!$C$2:$C$53,0))</f>
        <v>3</v>
      </c>
      <c r="E308" s="31">
        <v>8</v>
      </c>
      <c r="F308" s="15">
        <f>INT(INDEX(卡牌图鉴!$AB$2:$AB$53,MATCH(monster!C308,卡牌图鉴!$C$2:$C$57,0)) * INDEX(数值规划表!$B$61:$B$71,monster!E308+1) * 血量调整)</f>
        <v>400</v>
      </c>
      <c r="G308" s="15">
        <f>ROUND(INDEX(卡牌图鉴!$AB$2:$AB$53,MATCH(monster!C308,卡牌图鉴!$C$2:$C$57,0)) * INDEX(数值规划表!$D$61:$D$71,monster!E308+1)*血量调整,2)</f>
        <v>12.02</v>
      </c>
      <c r="H308" s="15">
        <f>ROUND(INDEX(卡牌图鉴!$AA$2:$AA$53,MATCH(monster!C308,卡牌图鉴!$C$2:$C$53,0)) * INDEX(数值规划表!$C$61:$C$71,monster!E308+1),2)</f>
        <v>143.06</v>
      </c>
      <c r="I308" s="15">
        <f>ROUND(INDEX(卡牌图鉴!$AA$2:$AA$53,MATCH(monster!C308,卡牌图鉴!$C$2:$C$53,0)) * INDEX(数值规划表!$E$61:$E$71,monster!E308+1),2)</f>
        <v>4.29</v>
      </c>
      <c r="J308" s="15">
        <f>INDEX(卡牌图鉴!$J$2:$J$53,MATCH(monster!C308,卡牌图鉴!$C$2:$C$53,0))</f>
        <v>4.5</v>
      </c>
      <c r="K308" s="15">
        <f>INDEX(卡牌图鉴!$S$2:$S$53,MATCH(monster!C308,卡牌图鉴!$C$2:$C$53,0))</f>
        <v>3</v>
      </c>
      <c r="L308" s="15">
        <f>INDEX(卡牌图鉴!$H$2:$H$53,MATCH(monster!C308,卡牌图鉴!$C$2:$C$53,0))</f>
        <v>1.4</v>
      </c>
      <c r="M308" s="15">
        <f>INDEX(卡牌图鉴!$L$2:$L$53,MATCH(monster!C308,卡牌图鉴!$C$2:$C$53,0))</f>
        <v>3</v>
      </c>
      <c r="N308" s="15">
        <f>INDEX(卡牌图鉴!$AD$2:$AD$53,MATCH(monster!C308,卡牌图鉴!$C$2:$C$53,0))</f>
        <v>8</v>
      </c>
      <c r="O308" s="78">
        <f>INDEX(卡牌图鉴!$K$2:$K$53,MATCH(monster!C308,卡牌图鉴!$C$2:$C$53,0))</f>
        <v>3</v>
      </c>
    </row>
    <row r="309" spans="1:15" x14ac:dyDescent="0.15">
      <c r="A309" s="31">
        <v>1559</v>
      </c>
      <c r="B309" s="31" t="s">
        <v>585</v>
      </c>
      <c r="C309" s="31">
        <v>1550</v>
      </c>
      <c r="D309" s="15">
        <f>INDEX(卡牌图鉴!$S$2:$S$53,MATCH(monster!C309,卡牌图鉴!$C$2:$C$53,0))</f>
        <v>3</v>
      </c>
      <c r="E309" s="31">
        <v>9</v>
      </c>
      <c r="F309" s="15">
        <f>INT(INDEX(卡牌图鉴!$AB$2:$AB$53,MATCH(monster!C309,卡牌图鉴!$C$2:$C$57,0)) * INDEX(数值规划表!$B$61:$B$71,monster!E309+1) * 血量调整)</f>
        <v>448</v>
      </c>
      <c r="G309" s="15">
        <f>ROUND(INDEX(卡牌图鉴!$AB$2:$AB$53,MATCH(monster!C309,卡牌图鉴!$C$2:$C$57,0)) * INDEX(数值规划表!$D$61:$D$71,monster!E309+1)*血量调整,2)</f>
        <v>13.46</v>
      </c>
      <c r="H309" s="15">
        <f>ROUND(INDEX(卡牌图鉴!$AA$2:$AA$53,MATCH(monster!C309,卡牌图鉴!$C$2:$C$53,0)) * INDEX(数值规划表!$C$61:$C$71,monster!E309+1),2)</f>
        <v>160.22999999999999</v>
      </c>
      <c r="I309" s="15">
        <f>ROUND(INDEX(卡牌图鉴!$AA$2:$AA$53,MATCH(monster!C309,卡牌图鉴!$C$2:$C$53,0)) * INDEX(数值规划表!$E$61:$E$71,monster!E309+1),2)</f>
        <v>4.8099999999999996</v>
      </c>
      <c r="J309" s="15">
        <f>INDEX(卡牌图鉴!$J$2:$J$53,MATCH(monster!C309,卡牌图鉴!$C$2:$C$53,0))</f>
        <v>4.5</v>
      </c>
      <c r="K309" s="15">
        <f>INDEX(卡牌图鉴!$S$2:$S$53,MATCH(monster!C309,卡牌图鉴!$C$2:$C$53,0))</f>
        <v>3</v>
      </c>
      <c r="L309" s="15">
        <f>INDEX(卡牌图鉴!$H$2:$H$53,MATCH(monster!C309,卡牌图鉴!$C$2:$C$53,0))</f>
        <v>1.4</v>
      </c>
      <c r="M309" s="15">
        <f>INDEX(卡牌图鉴!$L$2:$L$53,MATCH(monster!C309,卡牌图鉴!$C$2:$C$53,0))</f>
        <v>3</v>
      </c>
      <c r="N309" s="15">
        <f>INDEX(卡牌图鉴!$AD$2:$AD$53,MATCH(monster!C309,卡牌图鉴!$C$2:$C$53,0))</f>
        <v>8</v>
      </c>
      <c r="O309" s="78">
        <f>INDEX(卡牌图鉴!$K$2:$K$53,MATCH(monster!C309,卡牌图鉴!$C$2:$C$53,0))</f>
        <v>3</v>
      </c>
    </row>
    <row r="310" spans="1:15" x14ac:dyDescent="0.15">
      <c r="A310" s="31">
        <v>1373</v>
      </c>
      <c r="B310" s="31" t="s">
        <v>1454</v>
      </c>
      <c r="C310" s="31">
        <v>1373</v>
      </c>
      <c r="D310" s="15">
        <f>INDEX(卡牌图鉴!$S$2:$S$53,MATCH(monster!C310,卡牌图鉴!$C$2:$C$53,0))</f>
        <v>4</v>
      </c>
      <c r="E310" s="31">
        <v>0</v>
      </c>
      <c r="F310" s="15">
        <f>INT(INDEX(卡牌图鉴!$AB$2:$AB$53,MATCH(monster!C310,卡牌图鉴!$C$2:$C$57,0)) * INDEX(数值规划表!$B$61:$B$71,monster!E310+1) * 血量调整)</f>
        <v>868</v>
      </c>
      <c r="G310" s="15">
        <f>ROUND(INDEX(卡牌图鉴!$AB$2:$AB$53,MATCH(monster!C310,卡牌图鉴!$C$2:$C$57,0)) * INDEX(数值规划表!$D$61:$D$71,monster!E310+1)*血量调整,2)</f>
        <v>26.06</v>
      </c>
      <c r="H310" s="15">
        <f>ROUND(INDEX(卡牌图鉴!$AA$2:$AA$53,MATCH(monster!C310,卡牌图鉴!$C$2:$C$53,0)) * INDEX(数值规划表!$C$61:$C$71,monster!E310+1),2)</f>
        <v>34.06</v>
      </c>
      <c r="I310" s="15">
        <f>ROUND(INDEX(卡牌图鉴!$AA$2:$AA$53,MATCH(monster!C310,卡牌图鉴!$C$2:$C$53,0)) * INDEX(数值规划表!$E$61:$E$71,monster!E310+1),2)</f>
        <v>1.02</v>
      </c>
      <c r="J310" s="15">
        <f>INDEX(卡牌图鉴!$J$2:$J$53,MATCH(monster!C310,卡牌图鉴!$C$2:$C$53,0))</f>
        <v>1.2</v>
      </c>
      <c r="K310" s="15">
        <f>INDEX(卡牌图鉴!$S$2:$S$53,MATCH(monster!C310,卡牌图鉴!$C$2:$C$53,0))</f>
        <v>4</v>
      </c>
      <c r="L310" s="15">
        <f>INDEX(卡牌图鉴!$H$2:$H$53,MATCH(monster!C310,卡牌图鉴!$C$2:$C$53,0))</f>
        <v>1.1000000000000001</v>
      </c>
      <c r="M310" s="15">
        <f>INDEX(卡牌图鉴!$L$2:$L$53,MATCH(monster!C310,卡牌图鉴!$C$2:$C$53,0))</f>
        <v>4</v>
      </c>
      <c r="N310" s="15">
        <f>INDEX(卡牌图鉴!$AD$2:$AD$53,MATCH(monster!C310,卡牌图鉴!$C$2:$C$53,0))</f>
        <v>8</v>
      </c>
      <c r="O310" s="78">
        <f>INDEX(卡牌图鉴!$K$2:$K$53,MATCH(monster!C310,卡牌图鉴!$C$2:$C$53,0))</f>
        <v>4</v>
      </c>
    </row>
    <row r="311" spans="1:15" x14ac:dyDescent="0.15">
      <c r="A311" s="31">
        <v>1374</v>
      </c>
      <c r="B311" s="31" t="s">
        <v>1455</v>
      </c>
      <c r="C311" s="31">
        <v>1373</v>
      </c>
      <c r="D311" s="15">
        <f>INDEX(卡牌图鉴!$S$2:$S$53,MATCH(monster!C311,卡牌图鉴!$C$2:$C$53,0))</f>
        <v>4</v>
      </c>
      <c r="E311" s="31">
        <v>1</v>
      </c>
      <c r="F311" s="15">
        <f>INT(INDEX(卡牌图鉴!$AB$2:$AB$53,MATCH(monster!C311,卡牌图鉴!$C$2:$C$57,0)) * INDEX(数值规划表!$B$61:$B$71,monster!E311+1) * 血量调整)</f>
        <v>973</v>
      </c>
      <c r="G311" s="15">
        <f>ROUND(INDEX(卡牌图鉴!$AB$2:$AB$53,MATCH(monster!C311,卡牌图鉴!$C$2:$C$57,0)) * INDEX(数值规划表!$D$61:$D$71,monster!E311+1)*血量调整,2)</f>
        <v>29.19</v>
      </c>
      <c r="H311" s="15">
        <f>ROUND(INDEX(卡牌图鉴!$AA$2:$AA$53,MATCH(monster!C311,卡牌图鉴!$C$2:$C$53,0)) * INDEX(数值规划表!$C$61:$C$71,monster!E311+1),2)</f>
        <v>38.15</v>
      </c>
      <c r="I311" s="15">
        <f>ROUND(INDEX(卡牌图鉴!$AA$2:$AA$53,MATCH(monster!C311,卡牌图鉴!$C$2:$C$53,0)) * INDEX(数值规划表!$E$61:$E$71,monster!E311+1),2)</f>
        <v>1.1399999999999999</v>
      </c>
      <c r="J311" s="15">
        <f>INDEX(卡牌图鉴!$J$2:$J$53,MATCH(monster!C311,卡牌图鉴!$C$2:$C$53,0))</f>
        <v>1.2</v>
      </c>
      <c r="K311" s="15">
        <f>INDEX(卡牌图鉴!$S$2:$S$53,MATCH(monster!C311,卡牌图鉴!$C$2:$C$53,0))</f>
        <v>4</v>
      </c>
      <c r="L311" s="15">
        <f>INDEX(卡牌图鉴!$H$2:$H$53,MATCH(monster!C311,卡牌图鉴!$C$2:$C$53,0))</f>
        <v>1.1000000000000001</v>
      </c>
      <c r="M311" s="15">
        <f>INDEX(卡牌图鉴!$L$2:$L$53,MATCH(monster!C311,卡牌图鉴!$C$2:$C$53,0))</f>
        <v>4</v>
      </c>
      <c r="N311" s="15">
        <f>INDEX(卡牌图鉴!$AD$2:$AD$53,MATCH(monster!C311,卡牌图鉴!$C$2:$C$53,0))</f>
        <v>8</v>
      </c>
      <c r="O311" s="78">
        <f>INDEX(卡牌图鉴!$K$2:$K$53,MATCH(monster!C311,卡牌图鉴!$C$2:$C$53,0))</f>
        <v>4</v>
      </c>
    </row>
    <row r="312" spans="1:15" x14ac:dyDescent="0.15">
      <c r="A312" s="31">
        <v>1375</v>
      </c>
      <c r="B312" s="31" t="s">
        <v>435</v>
      </c>
      <c r="C312" s="31">
        <v>1373</v>
      </c>
      <c r="D312" s="15">
        <f>INDEX(卡牌图鉴!$S$2:$S$53,MATCH(monster!C312,卡牌图鉴!$C$2:$C$53,0))</f>
        <v>4</v>
      </c>
      <c r="E312" s="31">
        <v>2</v>
      </c>
      <c r="F312" s="15">
        <f>INT(INDEX(卡牌图鉴!$AB$2:$AB$53,MATCH(monster!C312,卡牌图鉴!$C$2:$C$57,0)) * INDEX(数值规划表!$B$61:$B$71,monster!E312+1) * 血量调整)</f>
        <v>1089</v>
      </c>
      <c r="G312" s="15">
        <f>ROUND(INDEX(卡牌图鉴!$AB$2:$AB$53,MATCH(monster!C312,卡牌图鉴!$C$2:$C$57,0)) * INDEX(数值规划表!$D$61:$D$71,monster!E312+1)*血量调整,2)</f>
        <v>32.69</v>
      </c>
      <c r="H312" s="15">
        <f>ROUND(INDEX(卡牌图鉴!$AA$2:$AA$53,MATCH(monster!C312,卡牌图鉴!$C$2:$C$53,0)) * INDEX(数值规划表!$C$61:$C$71,monster!E312+1),2)</f>
        <v>42.72</v>
      </c>
      <c r="I312" s="15">
        <f>ROUND(INDEX(卡牌图鉴!$AA$2:$AA$53,MATCH(monster!C312,卡牌图鉴!$C$2:$C$53,0)) * INDEX(数值规划表!$E$61:$E$71,monster!E312+1),2)</f>
        <v>1.28</v>
      </c>
      <c r="J312" s="15">
        <f>INDEX(卡牌图鉴!$J$2:$J$53,MATCH(monster!C312,卡牌图鉴!$C$2:$C$53,0))</f>
        <v>1.2</v>
      </c>
      <c r="K312" s="15">
        <f>INDEX(卡牌图鉴!$S$2:$S$53,MATCH(monster!C312,卡牌图鉴!$C$2:$C$53,0))</f>
        <v>4</v>
      </c>
      <c r="L312" s="15">
        <f>INDEX(卡牌图鉴!$H$2:$H$53,MATCH(monster!C312,卡牌图鉴!$C$2:$C$53,0))</f>
        <v>1.1000000000000001</v>
      </c>
      <c r="M312" s="15">
        <f>INDEX(卡牌图鉴!$L$2:$L$53,MATCH(monster!C312,卡牌图鉴!$C$2:$C$53,0))</f>
        <v>4</v>
      </c>
      <c r="N312" s="15">
        <f>INDEX(卡牌图鉴!$AD$2:$AD$53,MATCH(monster!C312,卡牌图鉴!$C$2:$C$53,0))</f>
        <v>8</v>
      </c>
      <c r="O312" s="78">
        <f>INDEX(卡牌图鉴!$K$2:$K$53,MATCH(monster!C312,卡牌图鉴!$C$2:$C$53,0))</f>
        <v>4</v>
      </c>
    </row>
    <row r="313" spans="1:15" x14ac:dyDescent="0.15">
      <c r="A313" s="31">
        <v>1376</v>
      </c>
      <c r="B313" s="31" t="s">
        <v>436</v>
      </c>
      <c r="C313" s="31">
        <v>1373</v>
      </c>
      <c r="D313" s="15">
        <f>INDEX(卡牌图鉴!$S$2:$S$53,MATCH(monster!C313,卡牌图鉴!$C$2:$C$53,0))</f>
        <v>4</v>
      </c>
      <c r="E313" s="31">
        <v>3</v>
      </c>
      <c r="F313" s="15">
        <f>INT(INDEX(卡牌图鉴!$AB$2:$AB$53,MATCH(monster!C313,卡牌图鉴!$C$2:$C$57,0)) * INDEX(数值规划表!$B$61:$B$71,monster!E313+1) * 血量调整)</f>
        <v>1220</v>
      </c>
      <c r="G313" s="15">
        <f>ROUND(INDEX(卡牌图鉴!$AB$2:$AB$53,MATCH(monster!C313,卡牌图鉴!$C$2:$C$57,0)) * INDEX(数值规划表!$D$61:$D$71,monster!E313+1)*血量调整,2)</f>
        <v>36.619999999999997</v>
      </c>
      <c r="H313" s="15">
        <f>ROUND(INDEX(卡牌图鉴!$AA$2:$AA$53,MATCH(monster!C313,卡牌图鉴!$C$2:$C$53,0)) * INDEX(数值规划表!$C$61:$C$71,monster!E313+1),2)</f>
        <v>47.85</v>
      </c>
      <c r="I313" s="15">
        <f>ROUND(INDEX(卡牌图鉴!$AA$2:$AA$53,MATCH(monster!C313,卡牌图鉴!$C$2:$C$53,0)) * INDEX(数值规划表!$E$61:$E$71,monster!E313+1),2)</f>
        <v>1.44</v>
      </c>
      <c r="J313" s="15">
        <f>INDEX(卡牌图鉴!$J$2:$J$53,MATCH(monster!C313,卡牌图鉴!$C$2:$C$53,0))</f>
        <v>1.2</v>
      </c>
      <c r="K313" s="15">
        <f>INDEX(卡牌图鉴!$S$2:$S$53,MATCH(monster!C313,卡牌图鉴!$C$2:$C$53,0))</f>
        <v>4</v>
      </c>
      <c r="L313" s="15">
        <f>INDEX(卡牌图鉴!$H$2:$H$53,MATCH(monster!C313,卡牌图鉴!$C$2:$C$53,0))</f>
        <v>1.1000000000000001</v>
      </c>
      <c r="M313" s="15">
        <f>INDEX(卡牌图鉴!$L$2:$L$53,MATCH(monster!C313,卡牌图鉴!$C$2:$C$53,0))</f>
        <v>4</v>
      </c>
      <c r="N313" s="15">
        <f>INDEX(卡牌图鉴!$AD$2:$AD$53,MATCH(monster!C313,卡牌图鉴!$C$2:$C$53,0))</f>
        <v>8</v>
      </c>
      <c r="O313" s="78">
        <f>INDEX(卡牌图鉴!$K$2:$K$53,MATCH(monster!C313,卡牌图鉴!$C$2:$C$53,0))</f>
        <v>4</v>
      </c>
    </row>
    <row r="314" spans="1:15" x14ac:dyDescent="0.15">
      <c r="A314" s="31">
        <v>1377</v>
      </c>
      <c r="B314" s="31" t="s">
        <v>437</v>
      </c>
      <c r="C314" s="31">
        <v>1373</v>
      </c>
      <c r="D314" s="15">
        <f>INDEX(卡牌图鉴!$S$2:$S$53,MATCH(monster!C314,卡牌图鉴!$C$2:$C$53,0))</f>
        <v>4</v>
      </c>
      <c r="E314" s="31">
        <v>4</v>
      </c>
      <c r="F314" s="15">
        <f>INT(INDEX(卡牌图鉴!$AB$2:$AB$53,MATCH(monster!C314,卡牌图鉴!$C$2:$C$57,0)) * INDEX(数值规划表!$B$61:$B$71,monster!E314+1) * 血量调整)</f>
        <v>1367</v>
      </c>
      <c r="G314" s="15">
        <f>ROUND(INDEX(卡牌图鉴!$AB$2:$AB$53,MATCH(monster!C314,卡牌图鉴!$C$2:$C$57,0)) * INDEX(数值规划表!$D$61:$D$71,monster!E314+1)*血量调整,2)</f>
        <v>41.01</v>
      </c>
      <c r="H314" s="15">
        <f>ROUND(INDEX(卡牌图鉴!$AA$2:$AA$53,MATCH(monster!C314,卡牌图鉴!$C$2:$C$53,0)) * INDEX(数值规划表!$C$61:$C$71,monster!E314+1),2)</f>
        <v>53.59</v>
      </c>
      <c r="I314" s="15">
        <f>ROUND(INDEX(卡牌图鉴!$AA$2:$AA$53,MATCH(monster!C314,卡牌图鉴!$C$2:$C$53,0)) * INDEX(数值规划表!$E$61:$E$71,monster!E314+1),2)</f>
        <v>1.61</v>
      </c>
      <c r="J314" s="15">
        <f>INDEX(卡牌图鉴!$J$2:$J$53,MATCH(monster!C314,卡牌图鉴!$C$2:$C$53,0))</f>
        <v>1.2</v>
      </c>
      <c r="K314" s="15">
        <f>INDEX(卡牌图鉴!$S$2:$S$53,MATCH(monster!C314,卡牌图鉴!$C$2:$C$53,0))</f>
        <v>4</v>
      </c>
      <c r="L314" s="15">
        <f>INDEX(卡牌图鉴!$H$2:$H$53,MATCH(monster!C314,卡牌图鉴!$C$2:$C$53,0))</f>
        <v>1.1000000000000001</v>
      </c>
      <c r="M314" s="15">
        <f>INDEX(卡牌图鉴!$L$2:$L$53,MATCH(monster!C314,卡牌图鉴!$C$2:$C$53,0))</f>
        <v>4</v>
      </c>
      <c r="N314" s="15">
        <f>INDEX(卡牌图鉴!$AD$2:$AD$53,MATCH(monster!C314,卡牌图鉴!$C$2:$C$53,0))</f>
        <v>8</v>
      </c>
      <c r="O314" s="78">
        <f>INDEX(卡牌图鉴!$K$2:$K$53,MATCH(monster!C314,卡牌图鉴!$C$2:$C$53,0))</f>
        <v>4</v>
      </c>
    </row>
    <row r="315" spans="1:15" x14ac:dyDescent="0.15">
      <c r="A315" s="31">
        <v>1378</v>
      </c>
      <c r="B315" s="31" t="s">
        <v>438</v>
      </c>
      <c r="C315" s="31">
        <v>1373</v>
      </c>
      <c r="D315" s="15">
        <f>INDEX(卡牌图鉴!$S$2:$S$53,MATCH(monster!C315,卡牌图鉴!$C$2:$C$53,0))</f>
        <v>4</v>
      </c>
      <c r="E315" s="31">
        <v>5</v>
      </c>
      <c r="F315" s="15">
        <f>INT(INDEX(卡牌图鉴!$AB$2:$AB$53,MATCH(monster!C315,卡牌图鉴!$C$2:$C$57,0)) * INDEX(数值规划表!$B$61:$B$71,monster!E315+1) * 血量调整)</f>
        <v>1531</v>
      </c>
      <c r="G315" s="15">
        <f>ROUND(INDEX(卡牌图鉴!$AB$2:$AB$53,MATCH(monster!C315,卡牌图鉴!$C$2:$C$57,0)) * INDEX(数值规划表!$D$61:$D$71,monster!E315+1)*血量调整,2)</f>
        <v>45.93</v>
      </c>
      <c r="H315" s="15">
        <f>ROUND(INDEX(卡牌图鉴!$AA$2:$AA$53,MATCH(monster!C315,卡牌图鉴!$C$2:$C$53,0)) * INDEX(数值规划表!$C$61:$C$71,monster!E315+1),2)</f>
        <v>60.03</v>
      </c>
      <c r="I315" s="15">
        <f>ROUND(INDEX(卡牌图鉴!$AA$2:$AA$53,MATCH(monster!C315,卡牌图鉴!$C$2:$C$53,0)) * INDEX(数值规划表!$E$61:$E$71,monster!E315+1),2)</f>
        <v>1.8</v>
      </c>
      <c r="J315" s="15">
        <f>INDEX(卡牌图鉴!$J$2:$J$53,MATCH(monster!C315,卡牌图鉴!$C$2:$C$53,0))</f>
        <v>1.2</v>
      </c>
      <c r="K315" s="15">
        <f>INDEX(卡牌图鉴!$S$2:$S$53,MATCH(monster!C315,卡牌图鉴!$C$2:$C$53,0))</f>
        <v>4</v>
      </c>
      <c r="L315" s="15">
        <f>INDEX(卡牌图鉴!$H$2:$H$53,MATCH(monster!C315,卡牌图鉴!$C$2:$C$53,0))</f>
        <v>1.1000000000000001</v>
      </c>
      <c r="M315" s="15">
        <f>INDEX(卡牌图鉴!$L$2:$L$53,MATCH(monster!C315,卡牌图鉴!$C$2:$C$53,0))</f>
        <v>4</v>
      </c>
      <c r="N315" s="15">
        <f>INDEX(卡牌图鉴!$AD$2:$AD$53,MATCH(monster!C315,卡牌图鉴!$C$2:$C$53,0))</f>
        <v>8</v>
      </c>
      <c r="O315" s="78">
        <f>INDEX(卡牌图鉴!$K$2:$K$53,MATCH(monster!C315,卡牌图鉴!$C$2:$C$53,0))</f>
        <v>4</v>
      </c>
    </row>
    <row r="316" spans="1:15" x14ac:dyDescent="0.15">
      <c r="A316" s="31">
        <v>1379</v>
      </c>
      <c r="B316" s="31" t="s">
        <v>439</v>
      </c>
      <c r="C316" s="31">
        <v>1373</v>
      </c>
      <c r="D316" s="15">
        <f>INDEX(卡牌图鉴!$S$2:$S$53,MATCH(monster!C316,卡牌图鉴!$C$2:$C$53,0))</f>
        <v>4</v>
      </c>
      <c r="E316" s="31">
        <v>6</v>
      </c>
      <c r="F316" s="15">
        <f>INT(INDEX(卡牌图鉴!$AB$2:$AB$53,MATCH(monster!C316,卡牌图鉴!$C$2:$C$57,0)) * INDEX(数值规划表!$B$61:$B$71,monster!E316+1) * 血量调整)</f>
        <v>1714</v>
      </c>
      <c r="G316" s="15">
        <f>ROUND(INDEX(卡牌图鉴!$AB$2:$AB$53,MATCH(monster!C316,卡牌图鉴!$C$2:$C$57,0)) * INDEX(数值规划表!$D$61:$D$71,monster!E316+1)*血量调整,2)</f>
        <v>51.44</v>
      </c>
      <c r="H316" s="15">
        <f>ROUND(INDEX(卡牌图鉴!$AA$2:$AA$53,MATCH(monster!C316,卡牌图鉴!$C$2:$C$53,0)) * INDEX(数值规划表!$C$61:$C$71,monster!E316+1),2)</f>
        <v>67.23</v>
      </c>
      <c r="I316" s="15">
        <f>ROUND(INDEX(卡牌图鉴!$AA$2:$AA$53,MATCH(monster!C316,卡牌图鉴!$C$2:$C$53,0)) * INDEX(数值规划表!$E$61:$E$71,monster!E316+1),2)</f>
        <v>2.02</v>
      </c>
      <c r="J316" s="15">
        <f>INDEX(卡牌图鉴!$J$2:$J$53,MATCH(monster!C316,卡牌图鉴!$C$2:$C$53,0))</f>
        <v>1.2</v>
      </c>
      <c r="K316" s="15">
        <f>INDEX(卡牌图鉴!$S$2:$S$53,MATCH(monster!C316,卡牌图鉴!$C$2:$C$53,0))</f>
        <v>4</v>
      </c>
      <c r="L316" s="15">
        <f>INDEX(卡牌图鉴!$H$2:$H$53,MATCH(monster!C316,卡牌图鉴!$C$2:$C$53,0))</f>
        <v>1.1000000000000001</v>
      </c>
      <c r="M316" s="15">
        <f>INDEX(卡牌图鉴!$L$2:$L$53,MATCH(monster!C316,卡牌图鉴!$C$2:$C$53,0))</f>
        <v>4</v>
      </c>
      <c r="N316" s="15">
        <f>INDEX(卡牌图鉴!$AD$2:$AD$53,MATCH(monster!C316,卡牌图鉴!$C$2:$C$53,0))</f>
        <v>8</v>
      </c>
      <c r="O316" s="78">
        <f>INDEX(卡牌图鉴!$K$2:$K$53,MATCH(monster!C316,卡牌图鉴!$C$2:$C$53,0))</f>
        <v>4</v>
      </c>
    </row>
    <row r="317" spans="1:15" x14ac:dyDescent="0.15">
      <c r="A317" s="31">
        <v>1380</v>
      </c>
      <c r="B317" s="31" t="s">
        <v>440</v>
      </c>
      <c r="C317" s="31">
        <v>1373</v>
      </c>
      <c r="D317" s="15">
        <f>INDEX(卡牌图鉴!$S$2:$S$53,MATCH(monster!C317,卡牌图鉴!$C$2:$C$53,0))</f>
        <v>4</v>
      </c>
      <c r="E317" s="31">
        <v>7</v>
      </c>
      <c r="F317" s="15">
        <f>INT(INDEX(卡牌图鉴!$AB$2:$AB$53,MATCH(monster!C317,卡牌图鉴!$C$2:$C$57,0)) * INDEX(数值规划表!$B$61:$B$71,monster!E317+1) * 血量调整)</f>
        <v>1920</v>
      </c>
      <c r="G317" s="15">
        <f>ROUND(INDEX(卡牌图鉴!$AB$2:$AB$53,MATCH(monster!C317,卡牌图鉴!$C$2:$C$57,0)) * INDEX(数值规划表!$D$61:$D$71,monster!E317+1)*血量调整,2)</f>
        <v>57.62</v>
      </c>
      <c r="H317" s="15">
        <f>ROUND(INDEX(卡牌图鉴!$AA$2:$AA$53,MATCH(monster!C317,卡牌图鉴!$C$2:$C$53,0)) * INDEX(数值规划表!$C$61:$C$71,monster!E317+1),2)</f>
        <v>75.3</v>
      </c>
      <c r="I317" s="15">
        <f>ROUND(INDEX(卡牌图鉴!$AA$2:$AA$53,MATCH(monster!C317,卡牌图鉴!$C$2:$C$53,0)) * INDEX(数值规划表!$E$61:$E$71,monster!E317+1),2)</f>
        <v>2.2599999999999998</v>
      </c>
      <c r="J317" s="15">
        <f>INDEX(卡牌图鉴!$J$2:$J$53,MATCH(monster!C317,卡牌图鉴!$C$2:$C$53,0))</f>
        <v>1.2</v>
      </c>
      <c r="K317" s="15">
        <f>INDEX(卡牌图鉴!$S$2:$S$53,MATCH(monster!C317,卡牌图鉴!$C$2:$C$53,0))</f>
        <v>4</v>
      </c>
      <c r="L317" s="15">
        <f>INDEX(卡牌图鉴!$H$2:$H$53,MATCH(monster!C317,卡牌图鉴!$C$2:$C$53,0))</f>
        <v>1.1000000000000001</v>
      </c>
      <c r="M317" s="15">
        <f>INDEX(卡牌图鉴!$L$2:$L$53,MATCH(monster!C317,卡牌图鉴!$C$2:$C$53,0))</f>
        <v>4</v>
      </c>
      <c r="N317" s="15">
        <f>INDEX(卡牌图鉴!$AD$2:$AD$53,MATCH(monster!C317,卡牌图鉴!$C$2:$C$53,0))</f>
        <v>8</v>
      </c>
      <c r="O317" s="78">
        <f>INDEX(卡牌图鉴!$K$2:$K$53,MATCH(monster!C317,卡牌图鉴!$C$2:$C$53,0))</f>
        <v>4</v>
      </c>
    </row>
    <row r="318" spans="1:15" x14ac:dyDescent="0.15">
      <c r="A318" s="31">
        <v>1381</v>
      </c>
      <c r="B318" s="31" t="s">
        <v>441</v>
      </c>
      <c r="C318" s="31">
        <v>1373</v>
      </c>
      <c r="D318" s="15">
        <f>INDEX(卡牌图鉴!$S$2:$S$53,MATCH(monster!C318,卡牌图鉴!$C$2:$C$53,0))</f>
        <v>4</v>
      </c>
      <c r="E318" s="31">
        <v>8</v>
      </c>
      <c r="F318" s="15">
        <f>INT(INDEX(卡牌图鉴!$AB$2:$AB$53,MATCH(monster!C318,卡牌图鉴!$C$2:$C$57,0)) * INDEX(数值规划表!$B$61:$B$71,monster!E318+1) * 血量调整)</f>
        <v>2151</v>
      </c>
      <c r="G318" s="15">
        <f>ROUND(INDEX(卡牌图鉴!$AB$2:$AB$53,MATCH(monster!C318,卡牌图鉴!$C$2:$C$57,0)) * INDEX(数值规划表!$D$61:$D$71,monster!E318+1)*血量调整,2)</f>
        <v>64.53</v>
      </c>
      <c r="H318" s="15">
        <f>ROUND(INDEX(卡牌图鉴!$AA$2:$AA$53,MATCH(monster!C318,卡牌图鉴!$C$2:$C$53,0)) * INDEX(数值规划表!$C$61:$C$71,monster!E318+1),2)</f>
        <v>84.33</v>
      </c>
      <c r="I318" s="15">
        <f>ROUND(INDEX(卡牌图鉴!$AA$2:$AA$53,MATCH(monster!C318,卡牌图鉴!$C$2:$C$53,0)) * INDEX(数值规划表!$E$61:$E$71,monster!E318+1),2)</f>
        <v>2.5299999999999998</v>
      </c>
      <c r="J318" s="15">
        <f>INDEX(卡牌图鉴!$J$2:$J$53,MATCH(monster!C318,卡牌图鉴!$C$2:$C$53,0))</f>
        <v>1.2</v>
      </c>
      <c r="K318" s="15">
        <f>INDEX(卡牌图鉴!$S$2:$S$53,MATCH(monster!C318,卡牌图鉴!$C$2:$C$53,0))</f>
        <v>4</v>
      </c>
      <c r="L318" s="15">
        <f>INDEX(卡牌图鉴!$H$2:$H$53,MATCH(monster!C318,卡牌图鉴!$C$2:$C$53,0))</f>
        <v>1.1000000000000001</v>
      </c>
      <c r="M318" s="15">
        <f>INDEX(卡牌图鉴!$L$2:$L$53,MATCH(monster!C318,卡牌图鉴!$C$2:$C$53,0))</f>
        <v>4</v>
      </c>
      <c r="N318" s="15">
        <f>INDEX(卡牌图鉴!$AD$2:$AD$53,MATCH(monster!C318,卡牌图鉴!$C$2:$C$53,0))</f>
        <v>8</v>
      </c>
      <c r="O318" s="78">
        <f>INDEX(卡牌图鉴!$K$2:$K$53,MATCH(monster!C318,卡牌图鉴!$C$2:$C$53,0))</f>
        <v>4</v>
      </c>
    </row>
    <row r="319" spans="1:15" x14ac:dyDescent="0.15">
      <c r="A319" s="31">
        <v>1382</v>
      </c>
      <c r="B319" s="31" t="s">
        <v>442</v>
      </c>
      <c r="C319" s="31">
        <v>1373</v>
      </c>
      <c r="D319" s="15">
        <f>INDEX(卡牌图鉴!$S$2:$S$53,MATCH(monster!C319,卡牌图鉴!$C$2:$C$53,0))</f>
        <v>4</v>
      </c>
      <c r="E319" s="31">
        <v>9</v>
      </c>
      <c r="F319" s="15">
        <f>INT(INDEX(卡牌图鉴!$AB$2:$AB$53,MATCH(monster!C319,卡牌图鉴!$C$2:$C$57,0)) * INDEX(数值规划表!$B$61:$B$71,monster!E319+1) * 血量调整)</f>
        <v>2409</v>
      </c>
      <c r="G319" s="15">
        <f>ROUND(INDEX(卡牌图鉴!$AB$2:$AB$53,MATCH(monster!C319,卡牌图鉴!$C$2:$C$57,0)) * INDEX(数值规划表!$D$61:$D$71,monster!E319+1)*血量调整,2)</f>
        <v>72.28</v>
      </c>
      <c r="H319" s="15">
        <f>ROUND(INDEX(卡牌图鉴!$AA$2:$AA$53,MATCH(monster!C319,卡牌图鉴!$C$2:$C$53,0)) * INDEX(数值规划表!$C$61:$C$71,monster!E319+1),2)</f>
        <v>94.45</v>
      </c>
      <c r="I319" s="15">
        <f>ROUND(INDEX(卡牌图鉴!$AA$2:$AA$53,MATCH(monster!C319,卡牌图鉴!$C$2:$C$53,0)) * INDEX(数值规划表!$E$61:$E$71,monster!E319+1),2)</f>
        <v>2.83</v>
      </c>
      <c r="J319" s="15">
        <f>INDEX(卡牌图鉴!$J$2:$J$53,MATCH(monster!C319,卡牌图鉴!$C$2:$C$53,0))</f>
        <v>1.2</v>
      </c>
      <c r="K319" s="15">
        <f>INDEX(卡牌图鉴!$S$2:$S$53,MATCH(monster!C319,卡牌图鉴!$C$2:$C$53,0))</f>
        <v>4</v>
      </c>
      <c r="L319" s="15">
        <f>INDEX(卡牌图鉴!$H$2:$H$53,MATCH(monster!C319,卡牌图鉴!$C$2:$C$53,0))</f>
        <v>1.1000000000000001</v>
      </c>
      <c r="M319" s="15">
        <f>INDEX(卡牌图鉴!$L$2:$L$53,MATCH(monster!C319,卡牌图鉴!$C$2:$C$53,0))</f>
        <v>4</v>
      </c>
      <c r="N319" s="15">
        <f>INDEX(卡牌图鉴!$AD$2:$AD$53,MATCH(monster!C319,卡牌图鉴!$C$2:$C$53,0))</f>
        <v>8</v>
      </c>
      <c r="O319" s="78">
        <f>INDEX(卡牌图鉴!$K$2:$K$53,MATCH(monster!C319,卡牌图鉴!$C$2:$C$53,0))</f>
        <v>4</v>
      </c>
    </row>
    <row r="320" spans="1:15" x14ac:dyDescent="0.15">
      <c r="A320" s="31">
        <v>1383</v>
      </c>
      <c r="B320" s="31" t="s">
        <v>443</v>
      </c>
      <c r="C320" s="31">
        <v>1373</v>
      </c>
      <c r="D320" s="15">
        <f>INDEX(卡牌图鉴!$S$2:$S$53,MATCH(monster!C320,卡牌图鉴!$C$2:$C$53,0))</f>
        <v>4</v>
      </c>
      <c r="E320" s="31">
        <v>10</v>
      </c>
      <c r="F320" s="15">
        <f>INT(INDEX(卡牌图鉴!$AB$2:$AB$53,MATCH(monster!C320,卡牌图鉴!$C$2:$C$57,0)) * INDEX(数值规划表!$B$61:$B$71,monster!E320+1) * 血量调整)</f>
        <v>2698</v>
      </c>
      <c r="G320" s="15">
        <f>ROUND(INDEX(卡牌图鉴!$AB$2:$AB$53,MATCH(monster!C320,卡牌图鉴!$C$2:$C$57,0)) * INDEX(数值规划表!$D$61:$D$71,monster!E320+1)*血量调整,2)</f>
        <v>80.95</v>
      </c>
      <c r="H320" s="15">
        <f>ROUND(INDEX(卡牌图鉴!$AA$2:$AA$53,MATCH(monster!C320,卡牌图鉴!$C$2:$C$53,0)) * INDEX(数值规划表!$C$61:$C$71,monster!E320+1),2)</f>
        <v>105.79</v>
      </c>
      <c r="I320" s="15">
        <f>ROUND(INDEX(卡牌图鉴!$AA$2:$AA$53,MATCH(monster!C320,卡牌图鉴!$C$2:$C$53,0)) * INDEX(数值规划表!$E$61:$E$71,monster!E320+1),2)</f>
        <v>3.17</v>
      </c>
      <c r="J320" s="15">
        <f>INDEX(卡牌图鉴!$J$2:$J$53,MATCH(monster!C320,卡牌图鉴!$C$2:$C$53,0))</f>
        <v>1.2</v>
      </c>
      <c r="K320" s="15">
        <f>INDEX(卡牌图鉴!$S$2:$S$53,MATCH(monster!C320,卡牌图鉴!$C$2:$C$53,0))</f>
        <v>4</v>
      </c>
      <c r="L320" s="15">
        <f>INDEX(卡牌图鉴!$H$2:$H$53,MATCH(monster!C320,卡牌图鉴!$C$2:$C$53,0))</f>
        <v>1.1000000000000001</v>
      </c>
      <c r="M320" s="15">
        <f>INDEX(卡牌图鉴!$L$2:$L$53,MATCH(monster!C320,卡牌图鉴!$C$2:$C$53,0))</f>
        <v>4</v>
      </c>
      <c r="N320" s="15">
        <f>INDEX(卡牌图鉴!$AD$2:$AD$53,MATCH(monster!C320,卡牌图鉴!$C$2:$C$53,0))</f>
        <v>8</v>
      </c>
      <c r="O320" s="78">
        <f>INDEX(卡牌图鉴!$K$2:$K$53,MATCH(monster!C320,卡牌图鉴!$C$2:$C$53,0))</f>
        <v>4</v>
      </c>
    </row>
    <row r="321" spans="1:15" x14ac:dyDescent="0.15">
      <c r="A321" s="31">
        <v>1428</v>
      </c>
      <c r="B321" s="31" t="s">
        <v>1456</v>
      </c>
      <c r="C321" s="31">
        <v>1428</v>
      </c>
      <c r="D321" s="15">
        <f>INDEX(卡牌图鉴!$S$2:$S$53,MATCH(monster!C321,卡牌图鉴!$C$2:$C$53,0))</f>
        <v>4</v>
      </c>
      <c r="E321" s="31">
        <v>0</v>
      </c>
      <c r="F321" s="15">
        <f>INT(INDEX(卡牌图鉴!$AB$2:$AB$53,MATCH(monster!C321,卡牌图鉴!$C$2:$C$57,0)) * INDEX(数值规划表!$B$61:$B$71,monster!E321+1) * 血量调整)</f>
        <v>461</v>
      </c>
      <c r="G321" s="15">
        <f>ROUND(INDEX(卡牌图鉴!$AB$2:$AB$53,MATCH(monster!C321,卡牌图鉴!$C$2:$C$57,0)) * INDEX(数值规划表!$D$61:$D$71,monster!E321+1)*血量调整,2)</f>
        <v>13.84</v>
      </c>
      <c r="H321" s="15">
        <f>ROUND(INDEX(卡牌图鉴!$AA$2:$AA$53,MATCH(monster!C321,卡牌图鉴!$C$2:$C$53,0)) * INDEX(数值规划表!$C$61:$C$71,monster!E321+1),2)</f>
        <v>80.569999999999993</v>
      </c>
      <c r="I321" s="15">
        <f>ROUND(INDEX(卡牌图鉴!$AA$2:$AA$53,MATCH(monster!C321,卡牌图鉴!$C$2:$C$53,0)) * INDEX(数值规划表!$E$61:$E$71,monster!E321+1),2)</f>
        <v>2.42</v>
      </c>
      <c r="J321" s="15">
        <f>INDEX(卡牌图鉴!$J$2:$J$53,MATCH(monster!C321,卡牌图鉴!$C$2:$C$53,0))</f>
        <v>1.5</v>
      </c>
      <c r="K321" s="15">
        <f>INDEX(卡牌图鉴!$S$2:$S$53,MATCH(monster!C321,卡牌图鉴!$C$2:$C$53,0))</f>
        <v>4</v>
      </c>
      <c r="L321" s="15">
        <f>INDEX(卡牌图鉴!$H$2:$H$53,MATCH(monster!C321,卡牌图鉴!$C$2:$C$53,0))</f>
        <v>1.1000000000000001</v>
      </c>
      <c r="M321" s="15">
        <f>INDEX(卡牌图鉴!$L$2:$L$53,MATCH(monster!C321,卡牌图鉴!$C$2:$C$53,0))</f>
        <v>4</v>
      </c>
      <c r="N321" s="15">
        <f>INDEX(卡牌图鉴!$AD$2:$AD$53,MATCH(monster!C321,卡牌图鉴!$C$2:$C$53,0))</f>
        <v>5</v>
      </c>
      <c r="O321" s="78">
        <f>INDEX(卡牌图鉴!$K$2:$K$53,MATCH(monster!C321,卡牌图鉴!$C$2:$C$53,0))</f>
        <v>4</v>
      </c>
    </row>
    <row r="322" spans="1:15" x14ac:dyDescent="0.15">
      <c r="A322" s="31">
        <v>1429</v>
      </c>
      <c r="B322" s="31" t="s">
        <v>485</v>
      </c>
      <c r="C322" s="31">
        <v>1428</v>
      </c>
      <c r="D322" s="15">
        <f>INDEX(卡牌图鉴!$S$2:$S$53,MATCH(monster!C322,卡牌图鉴!$C$2:$C$53,0))</f>
        <v>4</v>
      </c>
      <c r="E322" s="31">
        <v>1</v>
      </c>
      <c r="F322" s="15">
        <f>INT(INDEX(卡牌图鉴!$AB$2:$AB$53,MATCH(monster!C322,卡牌图鉴!$C$2:$C$57,0)) * INDEX(数值规划表!$B$61:$B$71,monster!E322+1) * 血量调整)</f>
        <v>516</v>
      </c>
      <c r="G322" s="15">
        <f>ROUND(INDEX(卡牌图鉴!$AB$2:$AB$53,MATCH(monster!C322,卡牌图鉴!$C$2:$C$57,0)) * INDEX(数值规划表!$D$61:$D$71,monster!E322+1)*血量调整,2)</f>
        <v>15.5</v>
      </c>
      <c r="H322" s="15">
        <f>ROUND(INDEX(卡牌图鉴!$AA$2:$AA$53,MATCH(monster!C322,卡牌图鉴!$C$2:$C$53,0)) * INDEX(数值规划表!$C$61:$C$71,monster!E322+1),2)</f>
        <v>90.24</v>
      </c>
      <c r="I322" s="15">
        <f>ROUND(INDEX(卡牌图鉴!$AA$2:$AA$53,MATCH(monster!C322,卡牌图鉴!$C$2:$C$53,0)) * INDEX(数值规划表!$E$61:$E$71,monster!E322+1),2)</f>
        <v>2.71</v>
      </c>
      <c r="J322" s="15">
        <f>INDEX(卡牌图鉴!$J$2:$J$53,MATCH(monster!C322,卡牌图鉴!$C$2:$C$53,0))</f>
        <v>1.5</v>
      </c>
      <c r="K322" s="15">
        <f>INDEX(卡牌图鉴!$S$2:$S$53,MATCH(monster!C322,卡牌图鉴!$C$2:$C$53,0))</f>
        <v>4</v>
      </c>
      <c r="L322" s="15">
        <f>INDEX(卡牌图鉴!$H$2:$H$53,MATCH(monster!C322,卡牌图鉴!$C$2:$C$53,0))</f>
        <v>1.1000000000000001</v>
      </c>
      <c r="M322" s="15">
        <f>INDEX(卡牌图鉴!$L$2:$L$53,MATCH(monster!C322,卡牌图鉴!$C$2:$C$53,0))</f>
        <v>4</v>
      </c>
      <c r="N322" s="15">
        <f>INDEX(卡牌图鉴!$AD$2:$AD$53,MATCH(monster!C322,卡牌图鉴!$C$2:$C$53,0))</f>
        <v>5</v>
      </c>
      <c r="O322" s="78">
        <f>INDEX(卡牌图鉴!$K$2:$K$53,MATCH(monster!C322,卡牌图鉴!$C$2:$C$53,0))</f>
        <v>4</v>
      </c>
    </row>
    <row r="323" spans="1:15" x14ac:dyDescent="0.15">
      <c r="A323" s="31">
        <v>1430</v>
      </c>
      <c r="B323" s="31" t="s">
        <v>486</v>
      </c>
      <c r="C323" s="31">
        <v>1428</v>
      </c>
      <c r="D323" s="15">
        <f>INDEX(卡牌图鉴!$S$2:$S$53,MATCH(monster!C323,卡牌图鉴!$C$2:$C$53,0))</f>
        <v>4</v>
      </c>
      <c r="E323" s="31">
        <v>2</v>
      </c>
      <c r="F323" s="15">
        <f>INT(INDEX(卡牌图鉴!$AB$2:$AB$53,MATCH(monster!C323,卡牌图鉴!$C$2:$C$57,0)) * INDEX(数值规划表!$B$61:$B$71,monster!E323+1) * 血量调整)</f>
        <v>578</v>
      </c>
      <c r="G323" s="15">
        <f>ROUND(INDEX(卡牌图鉴!$AB$2:$AB$53,MATCH(monster!C323,卡牌图鉴!$C$2:$C$57,0)) * INDEX(数值规划表!$D$61:$D$71,monster!E323+1)*血量调整,2)</f>
        <v>17.36</v>
      </c>
      <c r="H323" s="15">
        <f>ROUND(INDEX(卡牌图鉴!$AA$2:$AA$53,MATCH(monster!C323,卡牌图鉴!$C$2:$C$53,0)) * INDEX(数值规划表!$C$61:$C$71,monster!E323+1),2)</f>
        <v>101.07</v>
      </c>
      <c r="I323" s="15">
        <f>ROUND(INDEX(卡牌图鉴!$AA$2:$AA$53,MATCH(monster!C323,卡牌图鉴!$C$2:$C$53,0)) * INDEX(数值规划表!$E$61:$E$71,monster!E323+1),2)</f>
        <v>3.03</v>
      </c>
      <c r="J323" s="15">
        <f>INDEX(卡牌图鉴!$J$2:$J$53,MATCH(monster!C323,卡牌图鉴!$C$2:$C$53,0))</f>
        <v>1.5</v>
      </c>
      <c r="K323" s="15">
        <f>INDEX(卡牌图鉴!$S$2:$S$53,MATCH(monster!C323,卡牌图鉴!$C$2:$C$53,0))</f>
        <v>4</v>
      </c>
      <c r="L323" s="15">
        <f>INDEX(卡牌图鉴!$H$2:$H$53,MATCH(monster!C323,卡牌图鉴!$C$2:$C$53,0))</f>
        <v>1.1000000000000001</v>
      </c>
      <c r="M323" s="15">
        <f>INDEX(卡牌图鉴!$L$2:$L$53,MATCH(monster!C323,卡牌图鉴!$C$2:$C$53,0))</f>
        <v>4</v>
      </c>
      <c r="N323" s="15">
        <f>INDEX(卡牌图鉴!$AD$2:$AD$53,MATCH(monster!C323,卡牌图鉴!$C$2:$C$53,0))</f>
        <v>5</v>
      </c>
      <c r="O323" s="78">
        <f>INDEX(卡牌图鉴!$K$2:$K$53,MATCH(monster!C323,卡牌图鉴!$C$2:$C$53,0))</f>
        <v>4</v>
      </c>
    </row>
    <row r="324" spans="1:15" x14ac:dyDescent="0.15">
      <c r="A324" s="31">
        <v>1431</v>
      </c>
      <c r="B324" s="31" t="s">
        <v>487</v>
      </c>
      <c r="C324" s="31">
        <v>1428</v>
      </c>
      <c r="D324" s="15">
        <f>INDEX(卡牌图鉴!$S$2:$S$53,MATCH(monster!C324,卡牌图鉴!$C$2:$C$53,0))</f>
        <v>4</v>
      </c>
      <c r="E324" s="31">
        <v>3</v>
      </c>
      <c r="F324" s="15">
        <f>INT(INDEX(卡牌图鉴!$AB$2:$AB$53,MATCH(monster!C324,卡牌图鉴!$C$2:$C$57,0)) * INDEX(数值规划表!$B$61:$B$71,monster!E324+1) * 血量调整)</f>
        <v>648</v>
      </c>
      <c r="G324" s="15">
        <f>ROUND(INDEX(卡牌图鉴!$AB$2:$AB$53,MATCH(monster!C324,卡牌图鉴!$C$2:$C$57,0)) * INDEX(数值规划表!$D$61:$D$71,monster!E324+1)*血量调整,2)</f>
        <v>19.440000000000001</v>
      </c>
      <c r="H324" s="15">
        <f>ROUND(INDEX(卡牌图鉴!$AA$2:$AA$53,MATCH(monster!C324,卡牌图鉴!$C$2:$C$53,0)) * INDEX(数值规划表!$C$61:$C$71,monster!E324+1),2)</f>
        <v>113.2</v>
      </c>
      <c r="I324" s="15">
        <f>ROUND(INDEX(卡牌图鉴!$AA$2:$AA$53,MATCH(monster!C324,卡牌图鉴!$C$2:$C$53,0)) * INDEX(数值规划表!$E$61:$E$71,monster!E324+1),2)</f>
        <v>3.4</v>
      </c>
      <c r="J324" s="15">
        <f>INDEX(卡牌图鉴!$J$2:$J$53,MATCH(monster!C324,卡牌图鉴!$C$2:$C$53,0))</f>
        <v>1.5</v>
      </c>
      <c r="K324" s="15">
        <f>INDEX(卡牌图鉴!$S$2:$S$53,MATCH(monster!C324,卡牌图鉴!$C$2:$C$53,0))</f>
        <v>4</v>
      </c>
      <c r="L324" s="15">
        <f>INDEX(卡牌图鉴!$H$2:$H$53,MATCH(monster!C324,卡牌图鉴!$C$2:$C$53,0))</f>
        <v>1.1000000000000001</v>
      </c>
      <c r="M324" s="15">
        <f>INDEX(卡牌图鉴!$L$2:$L$53,MATCH(monster!C324,卡牌图鉴!$C$2:$C$53,0))</f>
        <v>4</v>
      </c>
      <c r="N324" s="15">
        <f>INDEX(卡牌图鉴!$AD$2:$AD$53,MATCH(monster!C324,卡牌图鉴!$C$2:$C$53,0))</f>
        <v>5</v>
      </c>
      <c r="O324" s="78">
        <f>INDEX(卡牌图鉴!$K$2:$K$53,MATCH(monster!C324,卡牌图鉴!$C$2:$C$53,0))</f>
        <v>4</v>
      </c>
    </row>
    <row r="325" spans="1:15" x14ac:dyDescent="0.15">
      <c r="A325" s="31">
        <v>1432</v>
      </c>
      <c r="B325" s="31" t="s">
        <v>488</v>
      </c>
      <c r="C325" s="31">
        <v>1428</v>
      </c>
      <c r="D325" s="15">
        <f>INDEX(卡牌图鉴!$S$2:$S$53,MATCH(monster!C325,卡牌图鉴!$C$2:$C$53,0))</f>
        <v>4</v>
      </c>
      <c r="E325" s="31">
        <v>4</v>
      </c>
      <c r="F325" s="15">
        <f>INT(INDEX(卡牌图鉴!$AB$2:$AB$53,MATCH(monster!C325,卡牌图鉴!$C$2:$C$57,0)) * INDEX(数值规划表!$B$61:$B$71,monster!E325+1) * 血量调整)</f>
        <v>725</v>
      </c>
      <c r="G325" s="15">
        <f>ROUND(INDEX(卡牌图鉴!$AB$2:$AB$53,MATCH(monster!C325,卡牌图鉴!$C$2:$C$57,0)) * INDEX(数值规划表!$D$61:$D$71,monster!E325+1)*血量调整,2)</f>
        <v>21.77</v>
      </c>
      <c r="H325" s="15">
        <f>ROUND(INDEX(卡牌图鉴!$AA$2:$AA$53,MATCH(monster!C325,卡牌图鉴!$C$2:$C$53,0)) * INDEX(数值规划表!$C$61:$C$71,monster!E325+1),2)</f>
        <v>126.78</v>
      </c>
      <c r="I325" s="15">
        <f>ROUND(INDEX(卡牌图鉴!$AA$2:$AA$53,MATCH(monster!C325,卡牌图鉴!$C$2:$C$53,0)) * INDEX(数值规划表!$E$61:$E$71,monster!E325+1),2)</f>
        <v>3.8</v>
      </c>
      <c r="J325" s="15">
        <f>INDEX(卡牌图鉴!$J$2:$J$53,MATCH(monster!C325,卡牌图鉴!$C$2:$C$53,0))</f>
        <v>1.5</v>
      </c>
      <c r="K325" s="15">
        <f>INDEX(卡牌图鉴!$S$2:$S$53,MATCH(monster!C325,卡牌图鉴!$C$2:$C$53,0))</f>
        <v>4</v>
      </c>
      <c r="L325" s="15">
        <f>INDEX(卡牌图鉴!$H$2:$H$53,MATCH(monster!C325,卡牌图鉴!$C$2:$C$53,0))</f>
        <v>1.1000000000000001</v>
      </c>
      <c r="M325" s="15">
        <f>INDEX(卡牌图鉴!$L$2:$L$53,MATCH(monster!C325,卡牌图鉴!$C$2:$C$53,0))</f>
        <v>4</v>
      </c>
      <c r="N325" s="15">
        <f>INDEX(卡牌图鉴!$AD$2:$AD$53,MATCH(monster!C325,卡牌图鉴!$C$2:$C$53,0))</f>
        <v>5</v>
      </c>
      <c r="O325" s="78">
        <f>INDEX(卡牌图鉴!$K$2:$K$53,MATCH(monster!C325,卡牌图鉴!$C$2:$C$53,0))</f>
        <v>4</v>
      </c>
    </row>
    <row r="326" spans="1:15" x14ac:dyDescent="0.15">
      <c r="A326" s="31">
        <v>1433</v>
      </c>
      <c r="B326" s="31" t="s">
        <v>489</v>
      </c>
      <c r="C326" s="31">
        <v>1428</v>
      </c>
      <c r="D326" s="15">
        <f>INDEX(卡牌图鉴!$S$2:$S$53,MATCH(monster!C326,卡牌图鉴!$C$2:$C$53,0))</f>
        <v>4</v>
      </c>
      <c r="E326" s="31">
        <v>5</v>
      </c>
      <c r="F326" s="15">
        <f>INT(INDEX(卡牌图鉴!$AB$2:$AB$53,MATCH(monster!C326,卡牌图鉴!$C$2:$C$57,0)) * INDEX(数值规划表!$B$61:$B$71,monster!E326+1) * 血量调整)</f>
        <v>812</v>
      </c>
      <c r="G326" s="15">
        <f>ROUND(INDEX(卡牌图鉴!$AB$2:$AB$53,MATCH(monster!C326,卡牌图鉴!$C$2:$C$57,0)) * INDEX(数值规划表!$D$61:$D$71,monster!E326+1)*血量调整,2)</f>
        <v>24.39</v>
      </c>
      <c r="H326" s="15">
        <f>ROUND(INDEX(卡牌图鉴!$AA$2:$AA$53,MATCH(monster!C326,卡牌图鉴!$C$2:$C$53,0)) * INDEX(数值规划表!$C$61:$C$71,monster!E326+1),2)</f>
        <v>141.99</v>
      </c>
      <c r="I326" s="15">
        <f>ROUND(INDEX(卡牌图鉴!$AA$2:$AA$53,MATCH(monster!C326,卡牌图鉴!$C$2:$C$53,0)) * INDEX(数值规划表!$E$61:$E$71,monster!E326+1),2)</f>
        <v>4.26</v>
      </c>
      <c r="J326" s="15">
        <f>INDEX(卡牌图鉴!$J$2:$J$53,MATCH(monster!C326,卡牌图鉴!$C$2:$C$53,0))</f>
        <v>1.5</v>
      </c>
      <c r="K326" s="15">
        <f>INDEX(卡牌图鉴!$S$2:$S$53,MATCH(monster!C326,卡牌图鉴!$C$2:$C$53,0))</f>
        <v>4</v>
      </c>
      <c r="L326" s="15">
        <f>INDEX(卡牌图鉴!$H$2:$H$53,MATCH(monster!C326,卡牌图鉴!$C$2:$C$53,0))</f>
        <v>1.1000000000000001</v>
      </c>
      <c r="M326" s="15">
        <f>INDEX(卡牌图鉴!$L$2:$L$53,MATCH(monster!C326,卡牌图鉴!$C$2:$C$53,0))</f>
        <v>4</v>
      </c>
      <c r="N326" s="15">
        <f>INDEX(卡牌图鉴!$AD$2:$AD$53,MATCH(monster!C326,卡牌图鉴!$C$2:$C$53,0))</f>
        <v>5</v>
      </c>
      <c r="O326" s="78">
        <f>INDEX(卡牌图鉴!$K$2:$K$53,MATCH(monster!C326,卡牌图鉴!$C$2:$C$53,0))</f>
        <v>4</v>
      </c>
    </row>
    <row r="327" spans="1:15" x14ac:dyDescent="0.15">
      <c r="A327" s="31">
        <v>1434</v>
      </c>
      <c r="B327" s="31" t="s">
        <v>490</v>
      </c>
      <c r="C327" s="31">
        <v>1428</v>
      </c>
      <c r="D327" s="15">
        <f>INDEX(卡牌图鉴!$S$2:$S$53,MATCH(monster!C327,卡牌图鉴!$C$2:$C$53,0))</f>
        <v>4</v>
      </c>
      <c r="E327" s="31">
        <v>6</v>
      </c>
      <c r="F327" s="15">
        <f>INT(INDEX(卡牌图鉴!$AB$2:$AB$53,MATCH(monster!C327,卡牌图鉴!$C$2:$C$57,0)) * INDEX(数值规划表!$B$61:$B$71,monster!E327+1) * 血量调整)</f>
        <v>910</v>
      </c>
      <c r="G327" s="15">
        <f>ROUND(INDEX(卡牌图鉴!$AB$2:$AB$53,MATCH(monster!C327,卡牌图鉴!$C$2:$C$57,0)) * INDEX(数值规划表!$D$61:$D$71,monster!E327+1)*血量调整,2)</f>
        <v>27.31</v>
      </c>
      <c r="H327" s="15">
        <f>ROUND(INDEX(卡牌图鉴!$AA$2:$AA$53,MATCH(monster!C327,卡牌图鉴!$C$2:$C$53,0)) * INDEX(数值规划表!$C$61:$C$71,monster!E327+1),2)</f>
        <v>159.03</v>
      </c>
      <c r="I327" s="15">
        <f>ROUND(INDEX(卡牌图鉴!$AA$2:$AA$53,MATCH(monster!C327,卡牌图鉴!$C$2:$C$53,0)) * INDEX(数值规划表!$E$61:$E$71,monster!E327+1),2)</f>
        <v>4.7699999999999996</v>
      </c>
      <c r="J327" s="15">
        <f>INDEX(卡牌图鉴!$J$2:$J$53,MATCH(monster!C327,卡牌图鉴!$C$2:$C$53,0))</f>
        <v>1.5</v>
      </c>
      <c r="K327" s="15">
        <f>INDEX(卡牌图鉴!$S$2:$S$53,MATCH(monster!C327,卡牌图鉴!$C$2:$C$53,0))</f>
        <v>4</v>
      </c>
      <c r="L327" s="15">
        <f>INDEX(卡牌图鉴!$H$2:$H$53,MATCH(monster!C327,卡牌图鉴!$C$2:$C$53,0))</f>
        <v>1.1000000000000001</v>
      </c>
      <c r="M327" s="15">
        <f>INDEX(卡牌图鉴!$L$2:$L$53,MATCH(monster!C327,卡牌图鉴!$C$2:$C$53,0))</f>
        <v>4</v>
      </c>
      <c r="N327" s="15">
        <f>INDEX(卡牌图鉴!$AD$2:$AD$53,MATCH(monster!C327,卡牌图鉴!$C$2:$C$53,0))</f>
        <v>5</v>
      </c>
      <c r="O327" s="78">
        <f>INDEX(卡牌图鉴!$K$2:$K$53,MATCH(monster!C327,卡牌图鉴!$C$2:$C$53,0))</f>
        <v>4</v>
      </c>
    </row>
    <row r="328" spans="1:15" x14ac:dyDescent="0.15">
      <c r="A328" s="31">
        <v>1435</v>
      </c>
      <c r="B328" s="31" t="s">
        <v>491</v>
      </c>
      <c r="C328" s="31">
        <v>1428</v>
      </c>
      <c r="D328" s="15">
        <f>INDEX(卡牌图鉴!$S$2:$S$53,MATCH(monster!C328,卡牌图鉴!$C$2:$C$53,0))</f>
        <v>4</v>
      </c>
      <c r="E328" s="31">
        <v>7</v>
      </c>
      <c r="F328" s="15">
        <f>INT(INDEX(卡牌图鉴!$AB$2:$AB$53,MATCH(monster!C328,卡牌图鉴!$C$2:$C$57,0)) * INDEX(数值规划表!$B$61:$B$71,monster!E328+1) * 血量调整)</f>
        <v>1019</v>
      </c>
      <c r="G328" s="15">
        <f>ROUND(INDEX(卡牌图鉴!$AB$2:$AB$53,MATCH(monster!C328,卡牌图鉴!$C$2:$C$57,0)) * INDEX(数值规划表!$D$61:$D$71,monster!E328+1)*血量调整,2)</f>
        <v>30.59</v>
      </c>
      <c r="H328" s="15">
        <f>ROUND(INDEX(卡牌图鉴!$AA$2:$AA$53,MATCH(monster!C328,卡牌图鉴!$C$2:$C$53,0)) * INDEX(数值规划表!$C$61:$C$71,monster!E328+1),2)</f>
        <v>178.11</v>
      </c>
      <c r="I328" s="15">
        <f>ROUND(INDEX(卡牌图鉴!$AA$2:$AA$53,MATCH(monster!C328,卡牌图鉴!$C$2:$C$53,0)) * INDEX(数值规划表!$E$61:$E$71,monster!E328+1),2)</f>
        <v>5.34</v>
      </c>
      <c r="J328" s="15">
        <f>INDEX(卡牌图鉴!$J$2:$J$53,MATCH(monster!C328,卡牌图鉴!$C$2:$C$53,0))</f>
        <v>1.5</v>
      </c>
      <c r="K328" s="15">
        <f>INDEX(卡牌图鉴!$S$2:$S$53,MATCH(monster!C328,卡牌图鉴!$C$2:$C$53,0))</f>
        <v>4</v>
      </c>
      <c r="L328" s="15">
        <f>INDEX(卡牌图鉴!$H$2:$H$53,MATCH(monster!C328,卡牌图鉴!$C$2:$C$53,0))</f>
        <v>1.1000000000000001</v>
      </c>
      <c r="M328" s="15">
        <f>INDEX(卡牌图鉴!$L$2:$L$53,MATCH(monster!C328,卡牌图鉴!$C$2:$C$53,0))</f>
        <v>4</v>
      </c>
      <c r="N328" s="15">
        <f>INDEX(卡牌图鉴!$AD$2:$AD$53,MATCH(monster!C328,卡牌图鉴!$C$2:$C$53,0))</f>
        <v>5</v>
      </c>
      <c r="O328" s="78">
        <f>INDEX(卡牌图鉴!$K$2:$K$53,MATCH(monster!C328,卡牌图鉴!$C$2:$C$53,0))</f>
        <v>4</v>
      </c>
    </row>
    <row r="329" spans="1:15" x14ac:dyDescent="0.15">
      <c r="A329" s="31">
        <v>1436</v>
      </c>
      <c r="B329" s="31" t="s">
        <v>492</v>
      </c>
      <c r="C329" s="31">
        <v>1428</v>
      </c>
      <c r="D329" s="15">
        <f>INDEX(卡牌图鉴!$S$2:$S$53,MATCH(monster!C329,卡牌图鉴!$C$2:$C$53,0))</f>
        <v>4</v>
      </c>
      <c r="E329" s="31">
        <v>8</v>
      </c>
      <c r="F329" s="15">
        <f>INT(INDEX(卡牌图鉴!$AB$2:$AB$53,MATCH(monster!C329,卡牌图鉴!$C$2:$C$57,0)) * INDEX(数值规划表!$B$61:$B$71,monster!E329+1) * 血量调整)</f>
        <v>1142</v>
      </c>
      <c r="G329" s="15">
        <f>ROUND(INDEX(卡牌图鉴!$AB$2:$AB$53,MATCH(monster!C329,卡牌图鉴!$C$2:$C$57,0)) * INDEX(数值规划表!$D$61:$D$71,monster!E329+1)*血量调整,2)</f>
        <v>34.26</v>
      </c>
      <c r="H329" s="15">
        <f>ROUND(INDEX(卡牌图鉴!$AA$2:$AA$53,MATCH(monster!C329,卡牌图鉴!$C$2:$C$53,0)) * INDEX(数值规划表!$C$61:$C$71,monster!E329+1),2)</f>
        <v>199.49</v>
      </c>
      <c r="I329" s="15">
        <f>ROUND(INDEX(卡牌图鉴!$AA$2:$AA$53,MATCH(monster!C329,卡牌图鉴!$C$2:$C$53,0)) * INDEX(数值规划表!$E$61:$E$71,monster!E329+1),2)</f>
        <v>5.98</v>
      </c>
      <c r="J329" s="15">
        <f>INDEX(卡牌图鉴!$J$2:$J$53,MATCH(monster!C329,卡牌图鉴!$C$2:$C$53,0))</f>
        <v>1.5</v>
      </c>
      <c r="K329" s="15">
        <f>INDEX(卡牌图鉴!$S$2:$S$53,MATCH(monster!C329,卡牌图鉴!$C$2:$C$53,0))</f>
        <v>4</v>
      </c>
      <c r="L329" s="15">
        <f>INDEX(卡牌图鉴!$H$2:$H$53,MATCH(monster!C329,卡牌图鉴!$C$2:$C$53,0))</f>
        <v>1.1000000000000001</v>
      </c>
      <c r="M329" s="15">
        <f>INDEX(卡牌图鉴!$L$2:$L$53,MATCH(monster!C329,卡牌图鉴!$C$2:$C$53,0))</f>
        <v>4</v>
      </c>
      <c r="N329" s="15">
        <f>INDEX(卡牌图鉴!$AD$2:$AD$53,MATCH(monster!C329,卡牌图鉴!$C$2:$C$53,0))</f>
        <v>5</v>
      </c>
      <c r="O329" s="78">
        <f>INDEX(卡牌图鉴!$K$2:$K$53,MATCH(monster!C329,卡牌图鉴!$C$2:$C$53,0))</f>
        <v>4</v>
      </c>
    </row>
    <row r="330" spans="1:15" x14ac:dyDescent="0.15">
      <c r="A330" s="31">
        <v>1437</v>
      </c>
      <c r="B330" s="31" t="s">
        <v>1399</v>
      </c>
      <c r="C330" s="31">
        <v>1428</v>
      </c>
      <c r="D330" s="15">
        <f>INDEX(卡牌图鉴!$S$2:$S$53,MATCH(monster!C330,卡牌图鉴!$C$2:$C$53,0))</f>
        <v>4</v>
      </c>
      <c r="E330" s="31">
        <v>9</v>
      </c>
      <c r="F330" s="15">
        <f>INT(INDEX(卡牌图鉴!$AB$2:$AB$53,MATCH(monster!C330,卡牌图鉴!$C$2:$C$57,0)) * INDEX(数值规划表!$B$61:$B$71,monster!E330+1) * 血量调整)</f>
        <v>1279</v>
      </c>
      <c r="G330" s="15">
        <f>ROUND(INDEX(卡牌图鉴!$AB$2:$AB$53,MATCH(monster!C330,卡牌图鉴!$C$2:$C$57,0)) * INDEX(数值规划表!$D$61:$D$71,monster!E330+1)*血量调整,2)</f>
        <v>38.369999999999997</v>
      </c>
      <c r="H330" s="15">
        <f>ROUND(INDEX(卡牌图鉴!$AA$2:$AA$53,MATCH(monster!C330,卡牌图鉴!$C$2:$C$53,0)) * INDEX(数值规划表!$C$61:$C$71,monster!E330+1),2)</f>
        <v>223.43</v>
      </c>
      <c r="I330" s="15">
        <f>ROUND(INDEX(卡牌图鉴!$AA$2:$AA$53,MATCH(monster!C330,卡牌图鉴!$C$2:$C$53,0)) * INDEX(数值规划表!$E$61:$E$71,monster!E330+1),2)</f>
        <v>6.7</v>
      </c>
      <c r="J330" s="15">
        <f>INDEX(卡牌图鉴!$J$2:$J$53,MATCH(monster!C330,卡牌图鉴!$C$2:$C$53,0))</f>
        <v>1.5</v>
      </c>
      <c r="K330" s="15">
        <f>INDEX(卡牌图鉴!$S$2:$S$53,MATCH(monster!C330,卡牌图鉴!$C$2:$C$53,0))</f>
        <v>4</v>
      </c>
      <c r="L330" s="15">
        <f>INDEX(卡牌图鉴!$H$2:$H$53,MATCH(monster!C330,卡牌图鉴!$C$2:$C$53,0))</f>
        <v>1.1000000000000001</v>
      </c>
      <c r="M330" s="15">
        <f>INDEX(卡牌图鉴!$L$2:$L$53,MATCH(monster!C330,卡牌图鉴!$C$2:$C$53,0))</f>
        <v>4</v>
      </c>
      <c r="N330" s="15">
        <f>INDEX(卡牌图鉴!$AD$2:$AD$53,MATCH(monster!C330,卡牌图鉴!$C$2:$C$53,0))</f>
        <v>5</v>
      </c>
      <c r="O330" s="78">
        <f>INDEX(卡牌图鉴!$K$2:$K$53,MATCH(monster!C330,卡牌图鉴!$C$2:$C$53,0))</f>
        <v>4</v>
      </c>
    </row>
    <row r="331" spans="1:15" x14ac:dyDescent="0.15">
      <c r="A331" s="31">
        <v>1438</v>
      </c>
      <c r="B331" s="31" t="s">
        <v>493</v>
      </c>
      <c r="C331" s="31">
        <v>1428</v>
      </c>
      <c r="D331" s="15">
        <f>INDEX(卡牌图鉴!$S$2:$S$53,MATCH(monster!C331,卡牌图鉴!$C$2:$C$53,0))</f>
        <v>4</v>
      </c>
      <c r="E331" s="31">
        <v>10</v>
      </c>
      <c r="F331" s="15">
        <f>INT(INDEX(卡牌图鉴!$AB$2:$AB$53,MATCH(monster!C331,卡牌图鉴!$C$2:$C$57,0)) * INDEX(数值规划表!$B$61:$B$71,monster!E331+1) * 血量调整)</f>
        <v>1432</v>
      </c>
      <c r="G331" s="15">
        <f>ROUND(INDEX(卡牌图鉴!$AB$2:$AB$53,MATCH(monster!C331,卡牌图鉴!$C$2:$C$57,0)) * INDEX(数值规划表!$D$61:$D$71,monster!E331+1)*血量调整,2)</f>
        <v>42.98</v>
      </c>
      <c r="H331" s="15">
        <f>ROUND(INDEX(卡牌图鉴!$AA$2:$AA$53,MATCH(monster!C331,卡牌图鉴!$C$2:$C$53,0)) * INDEX(数值规划表!$C$61:$C$71,monster!E331+1),2)</f>
        <v>250.24</v>
      </c>
      <c r="I331" s="15">
        <f>ROUND(INDEX(卡牌图鉴!$AA$2:$AA$53,MATCH(monster!C331,卡牌图鉴!$C$2:$C$53,0)) * INDEX(数值规划表!$E$61:$E$71,monster!E331+1),2)</f>
        <v>7.51</v>
      </c>
      <c r="J331" s="15">
        <f>INDEX(卡牌图鉴!$J$2:$J$53,MATCH(monster!C331,卡牌图鉴!$C$2:$C$53,0))</f>
        <v>1.5</v>
      </c>
      <c r="K331" s="15">
        <f>INDEX(卡牌图鉴!$S$2:$S$53,MATCH(monster!C331,卡牌图鉴!$C$2:$C$53,0))</f>
        <v>4</v>
      </c>
      <c r="L331" s="15">
        <f>INDEX(卡牌图鉴!$H$2:$H$53,MATCH(monster!C331,卡牌图鉴!$C$2:$C$53,0))</f>
        <v>1.1000000000000001</v>
      </c>
      <c r="M331" s="15">
        <f>INDEX(卡牌图鉴!$L$2:$L$53,MATCH(monster!C331,卡牌图鉴!$C$2:$C$53,0))</f>
        <v>4</v>
      </c>
      <c r="N331" s="15">
        <f>INDEX(卡牌图鉴!$AD$2:$AD$53,MATCH(monster!C331,卡牌图鉴!$C$2:$C$53,0))</f>
        <v>5</v>
      </c>
      <c r="O331" s="78">
        <f>INDEX(卡牌图鉴!$K$2:$K$53,MATCH(monster!C331,卡牌图鉴!$C$2:$C$53,0))</f>
        <v>4</v>
      </c>
    </row>
    <row r="332" spans="1:15" x14ac:dyDescent="0.15">
      <c r="A332" s="31">
        <v>1461</v>
      </c>
      <c r="B332" s="31" t="s">
        <v>1457</v>
      </c>
      <c r="C332" s="31">
        <v>1461</v>
      </c>
      <c r="D332" s="15">
        <f>INDEX(卡牌图鉴!$S$2:$S$53,MATCH(monster!C332,卡牌图鉴!$C$2:$C$53,0))</f>
        <v>4</v>
      </c>
      <c r="E332" s="31">
        <v>0</v>
      </c>
      <c r="F332" s="15">
        <f>INT(INDEX(卡牌图鉴!$AB$2:$AB$53,MATCH(monster!C332,卡牌图鉴!$C$2:$C$57,0)) * INDEX(数值规划表!$B$61:$B$71,monster!E332+1) * 血量调整)</f>
        <v>924</v>
      </c>
      <c r="G332" s="15">
        <f>ROUND(INDEX(卡牌图鉴!$AB$2:$AB$53,MATCH(monster!C332,卡牌图鉴!$C$2:$C$57,0)) * INDEX(数值规划表!$D$61:$D$71,monster!E332+1)*血量调整,2)</f>
        <v>27.73</v>
      </c>
      <c r="H332" s="15">
        <f>ROUND(INDEX(卡牌图鉴!$AA$2:$AA$53,MATCH(monster!C332,卡牌图鉴!$C$2:$C$53,0)) * INDEX(数值规划表!$C$61:$C$71,monster!E332+1),2)</f>
        <v>78.400000000000006</v>
      </c>
      <c r="I332" s="15">
        <f>ROUND(INDEX(卡牌图鉴!$AA$2:$AA$53,MATCH(monster!C332,卡牌图鉴!$C$2:$C$53,0)) * INDEX(数值规划表!$E$61:$E$71,monster!E332+1),2)</f>
        <v>2.35</v>
      </c>
      <c r="J332" s="15">
        <f>INDEX(卡牌图鉴!$J$2:$J$53,MATCH(monster!C332,卡牌图鉴!$C$2:$C$53,0))</f>
        <v>1.2</v>
      </c>
      <c r="K332" s="15">
        <f>INDEX(卡牌图鉴!$S$2:$S$53,MATCH(monster!C332,卡牌图鉴!$C$2:$C$53,0))</f>
        <v>4</v>
      </c>
      <c r="L332" s="15">
        <f>INDEX(卡牌图鉴!$H$2:$H$53,MATCH(monster!C332,卡牌图鉴!$C$2:$C$53,0))</f>
        <v>1.1000000000000001</v>
      </c>
      <c r="M332" s="15">
        <f>INDEX(卡牌图鉴!$L$2:$L$53,MATCH(monster!C332,卡牌图鉴!$C$2:$C$53,0))</f>
        <v>5</v>
      </c>
      <c r="N332" s="15">
        <f>INDEX(卡牌图鉴!$AD$2:$AD$53,MATCH(monster!C332,卡牌图鉴!$C$2:$C$53,0))</f>
        <v>6</v>
      </c>
      <c r="O332" s="78">
        <f>INDEX(卡牌图鉴!$K$2:$K$53,MATCH(monster!C332,卡牌图鉴!$C$2:$C$53,0))</f>
        <v>5</v>
      </c>
    </row>
    <row r="333" spans="1:15" x14ac:dyDescent="0.15">
      <c r="A333" s="31">
        <v>1462</v>
      </c>
      <c r="B333" s="31" t="s">
        <v>1458</v>
      </c>
      <c r="C333" s="31">
        <v>1461</v>
      </c>
      <c r="D333" s="15">
        <f>INDEX(卡牌图鉴!$S$2:$S$53,MATCH(monster!C333,卡牌图鉴!$C$2:$C$53,0))</f>
        <v>4</v>
      </c>
      <c r="E333" s="31">
        <v>1</v>
      </c>
      <c r="F333" s="15">
        <f>INT(INDEX(卡牌图鉴!$AB$2:$AB$53,MATCH(monster!C333,卡牌图鉴!$C$2:$C$57,0)) * INDEX(数值规划表!$B$61:$B$71,monster!E333+1) * 血量调整)</f>
        <v>1035</v>
      </c>
      <c r="G333" s="15">
        <f>ROUND(INDEX(卡牌图鉴!$AB$2:$AB$53,MATCH(monster!C333,卡牌图鉴!$C$2:$C$57,0)) * INDEX(数值规划表!$D$61:$D$71,monster!E333+1)*血量调整,2)</f>
        <v>31.06</v>
      </c>
      <c r="H333" s="15">
        <f>ROUND(INDEX(卡牌图鉴!$AA$2:$AA$53,MATCH(monster!C333,卡牌图鉴!$C$2:$C$53,0)) * INDEX(数值规划表!$C$61:$C$71,monster!E333+1),2)</f>
        <v>87.81</v>
      </c>
      <c r="I333" s="15">
        <f>ROUND(INDEX(卡牌图鉴!$AA$2:$AA$53,MATCH(monster!C333,卡牌图鉴!$C$2:$C$53,0)) * INDEX(数值规划表!$E$61:$E$71,monster!E333+1),2)</f>
        <v>2.63</v>
      </c>
      <c r="J333" s="15">
        <f>INDEX(卡牌图鉴!$J$2:$J$53,MATCH(monster!C333,卡牌图鉴!$C$2:$C$53,0))</f>
        <v>1.2</v>
      </c>
      <c r="K333" s="15">
        <f>INDEX(卡牌图鉴!$S$2:$S$53,MATCH(monster!C333,卡牌图鉴!$C$2:$C$53,0))</f>
        <v>4</v>
      </c>
      <c r="L333" s="15">
        <f>INDEX(卡牌图鉴!$H$2:$H$53,MATCH(monster!C333,卡牌图鉴!$C$2:$C$53,0))</f>
        <v>1.1000000000000001</v>
      </c>
      <c r="M333" s="15">
        <f>INDEX(卡牌图鉴!$L$2:$L$53,MATCH(monster!C333,卡牌图鉴!$C$2:$C$53,0))</f>
        <v>5</v>
      </c>
      <c r="N333" s="15">
        <f>INDEX(卡牌图鉴!$AD$2:$AD$53,MATCH(monster!C333,卡牌图鉴!$C$2:$C$53,0))</f>
        <v>6</v>
      </c>
      <c r="O333" s="78">
        <f>INDEX(卡牌图鉴!$K$2:$K$53,MATCH(monster!C333,卡牌图鉴!$C$2:$C$53,0))</f>
        <v>5</v>
      </c>
    </row>
    <row r="334" spans="1:15" x14ac:dyDescent="0.15">
      <c r="A334" s="31">
        <v>1463</v>
      </c>
      <c r="B334" s="31" t="s">
        <v>1459</v>
      </c>
      <c r="C334" s="31">
        <v>1461</v>
      </c>
      <c r="D334" s="15">
        <f>INDEX(卡牌图鉴!$S$2:$S$53,MATCH(monster!C334,卡牌图鉴!$C$2:$C$53,0))</f>
        <v>4</v>
      </c>
      <c r="E334" s="31">
        <v>2</v>
      </c>
      <c r="F334" s="15">
        <f>INT(INDEX(卡牌图鉴!$AB$2:$AB$53,MATCH(monster!C334,卡牌图鉴!$C$2:$C$57,0)) * INDEX(数值规划表!$B$61:$B$71,monster!E334+1) * 血量调整)</f>
        <v>1159</v>
      </c>
      <c r="G334" s="15">
        <f>ROUND(INDEX(卡牌图鉴!$AB$2:$AB$53,MATCH(monster!C334,卡牌图鉴!$C$2:$C$57,0)) * INDEX(数值规划表!$D$61:$D$71,monster!E334+1)*血量调整,2)</f>
        <v>34.78</v>
      </c>
      <c r="H334" s="15">
        <f>ROUND(INDEX(卡牌图鉴!$AA$2:$AA$53,MATCH(monster!C334,卡牌图鉴!$C$2:$C$53,0)) * INDEX(数值规划表!$C$61:$C$71,monster!E334+1),2)</f>
        <v>98.34</v>
      </c>
      <c r="I334" s="15">
        <f>ROUND(INDEX(卡牌图鉴!$AA$2:$AA$53,MATCH(monster!C334,卡牌图鉴!$C$2:$C$53,0)) * INDEX(数值规划表!$E$61:$E$71,monster!E334+1),2)</f>
        <v>2.95</v>
      </c>
      <c r="J334" s="15">
        <f>INDEX(卡牌图鉴!$J$2:$J$53,MATCH(monster!C334,卡牌图鉴!$C$2:$C$53,0))</f>
        <v>1.2</v>
      </c>
      <c r="K334" s="15">
        <f>INDEX(卡牌图鉴!$S$2:$S$53,MATCH(monster!C334,卡牌图鉴!$C$2:$C$53,0))</f>
        <v>4</v>
      </c>
      <c r="L334" s="15">
        <f>INDEX(卡牌图鉴!$H$2:$H$53,MATCH(monster!C334,卡牌图鉴!$C$2:$C$53,0))</f>
        <v>1.1000000000000001</v>
      </c>
      <c r="M334" s="15">
        <f>INDEX(卡牌图鉴!$L$2:$L$53,MATCH(monster!C334,卡牌图鉴!$C$2:$C$53,0))</f>
        <v>5</v>
      </c>
      <c r="N334" s="15">
        <f>INDEX(卡牌图鉴!$AD$2:$AD$53,MATCH(monster!C334,卡牌图鉴!$C$2:$C$53,0))</f>
        <v>6</v>
      </c>
      <c r="O334" s="78">
        <f>INDEX(卡牌图鉴!$K$2:$K$53,MATCH(monster!C334,卡牌图鉴!$C$2:$C$53,0))</f>
        <v>5</v>
      </c>
    </row>
    <row r="335" spans="1:15" x14ac:dyDescent="0.15">
      <c r="A335" s="31">
        <v>1464</v>
      </c>
      <c r="B335" s="31" t="s">
        <v>1460</v>
      </c>
      <c r="C335" s="31">
        <v>1461</v>
      </c>
      <c r="D335" s="15">
        <f>INDEX(卡牌图鉴!$S$2:$S$53,MATCH(monster!C335,卡牌图鉴!$C$2:$C$53,0))</f>
        <v>4</v>
      </c>
      <c r="E335" s="31">
        <v>3</v>
      </c>
      <c r="F335" s="15">
        <f>INT(INDEX(卡牌图鉴!$AB$2:$AB$53,MATCH(monster!C335,卡牌图鉴!$C$2:$C$57,0)) * INDEX(数值规划表!$B$61:$B$71,monster!E335+1) * 血量调整)</f>
        <v>1298</v>
      </c>
      <c r="G335" s="15">
        <f>ROUND(INDEX(卡牌图鉴!$AB$2:$AB$53,MATCH(monster!C335,卡牌图鉴!$C$2:$C$57,0)) * INDEX(数值规划表!$D$61:$D$71,monster!E335+1)*血量调整,2)</f>
        <v>38.96</v>
      </c>
      <c r="H335" s="15">
        <f>ROUND(INDEX(卡牌图鉴!$AA$2:$AA$53,MATCH(monster!C335,卡牌图鉴!$C$2:$C$53,0)) * INDEX(数值规划表!$C$61:$C$71,monster!E335+1),2)</f>
        <v>110.15</v>
      </c>
      <c r="I335" s="15">
        <f>ROUND(INDEX(卡牌图鉴!$AA$2:$AA$53,MATCH(monster!C335,卡牌图鉴!$C$2:$C$53,0)) * INDEX(数值规划表!$E$61:$E$71,monster!E335+1),2)</f>
        <v>3.3</v>
      </c>
      <c r="J335" s="15">
        <f>INDEX(卡牌图鉴!$J$2:$J$53,MATCH(monster!C335,卡牌图鉴!$C$2:$C$53,0))</f>
        <v>1.2</v>
      </c>
      <c r="K335" s="15">
        <f>INDEX(卡牌图鉴!$S$2:$S$53,MATCH(monster!C335,卡牌图鉴!$C$2:$C$53,0))</f>
        <v>4</v>
      </c>
      <c r="L335" s="15">
        <f>INDEX(卡牌图鉴!$H$2:$H$53,MATCH(monster!C335,卡牌图鉴!$C$2:$C$53,0))</f>
        <v>1.1000000000000001</v>
      </c>
      <c r="M335" s="15">
        <f>INDEX(卡牌图鉴!$L$2:$L$53,MATCH(monster!C335,卡牌图鉴!$C$2:$C$53,0))</f>
        <v>5</v>
      </c>
      <c r="N335" s="15">
        <f>INDEX(卡牌图鉴!$AD$2:$AD$53,MATCH(monster!C335,卡牌图鉴!$C$2:$C$53,0))</f>
        <v>6</v>
      </c>
      <c r="O335" s="78">
        <f>INDEX(卡牌图鉴!$K$2:$K$53,MATCH(monster!C335,卡牌图鉴!$C$2:$C$53,0))</f>
        <v>5</v>
      </c>
    </row>
    <row r="336" spans="1:15" x14ac:dyDescent="0.15">
      <c r="A336" s="31">
        <v>1465</v>
      </c>
      <c r="B336" s="31" t="s">
        <v>1461</v>
      </c>
      <c r="C336" s="31">
        <v>1461</v>
      </c>
      <c r="D336" s="15">
        <f>INDEX(卡牌图鉴!$S$2:$S$53,MATCH(monster!C336,卡牌图鉴!$C$2:$C$53,0))</f>
        <v>4</v>
      </c>
      <c r="E336" s="31">
        <v>4</v>
      </c>
      <c r="F336" s="15">
        <f>INT(INDEX(卡牌图鉴!$AB$2:$AB$53,MATCH(monster!C336,卡牌图鉴!$C$2:$C$57,0)) * INDEX(数值规划表!$B$61:$B$71,monster!E336+1) * 血量调整)</f>
        <v>1454</v>
      </c>
      <c r="G336" s="15">
        <f>ROUND(INDEX(卡牌图鉴!$AB$2:$AB$53,MATCH(monster!C336,卡牌图鉴!$C$2:$C$57,0)) * INDEX(数值规划表!$D$61:$D$71,monster!E336+1)*血量调整,2)</f>
        <v>43.63</v>
      </c>
      <c r="H336" s="15">
        <f>ROUND(INDEX(卡牌图鉴!$AA$2:$AA$53,MATCH(monster!C336,卡牌图鉴!$C$2:$C$53,0)) * INDEX(数值规划表!$C$61:$C$71,monster!E336+1),2)</f>
        <v>123.36</v>
      </c>
      <c r="I336" s="15">
        <f>ROUND(INDEX(卡牌图鉴!$AA$2:$AA$53,MATCH(monster!C336,卡牌图鉴!$C$2:$C$53,0)) * INDEX(数值规划表!$E$61:$E$71,monster!E336+1),2)</f>
        <v>3.7</v>
      </c>
      <c r="J336" s="15">
        <f>INDEX(卡牌图鉴!$J$2:$J$53,MATCH(monster!C336,卡牌图鉴!$C$2:$C$53,0))</f>
        <v>1.2</v>
      </c>
      <c r="K336" s="15">
        <f>INDEX(卡牌图鉴!$S$2:$S$53,MATCH(monster!C336,卡牌图鉴!$C$2:$C$53,0))</f>
        <v>4</v>
      </c>
      <c r="L336" s="15">
        <f>INDEX(卡牌图鉴!$H$2:$H$53,MATCH(monster!C336,卡牌图鉴!$C$2:$C$53,0))</f>
        <v>1.1000000000000001</v>
      </c>
      <c r="M336" s="15">
        <f>INDEX(卡牌图鉴!$L$2:$L$53,MATCH(monster!C336,卡牌图鉴!$C$2:$C$53,0))</f>
        <v>5</v>
      </c>
      <c r="N336" s="15">
        <f>INDEX(卡牌图鉴!$AD$2:$AD$53,MATCH(monster!C336,卡牌图鉴!$C$2:$C$53,0))</f>
        <v>6</v>
      </c>
      <c r="O336" s="78">
        <f>INDEX(卡牌图鉴!$K$2:$K$53,MATCH(monster!C336,卡牌图鉴!$C$2:$C$53,0))</f>
        <v>5</v>
      </c>
    </row>
    <row r="337" spans="1:15" x14ac:dyDescent="0.15">
      <c r="A337" s="31">
        <v>1466</v>
      </c>
      <c r="B337" s="31" t="s">
        <v>1462</v>
      </c>
      <c r="C337" s="31">
        <v>1461</v>
      </c>
      <c r="D337" s="15">
        <f>INDEX(卡牌图鉴!$S$2:$S$53,MATCH(monster!C337,卡牌图鉴!$C$2:$C$53,0))</f>
        <v>4</v>
      </c>
      <c r="E337" s="31">
        <v>5</v>
      </c>
      <c r="F337" s="15">
        <f>INT(INDEX(卡牌图鉴!$AB$2:$AB$53,MATCH(monster!C337,卡牌图鉴!$C$2:$C$57,0)) * INDEX(数值规划表!$B$61:$B$71,monster!E337+1) * 血量调整)</f>
        <v>1628</v>
      </c>
      <c r="G337" s="15">
        <f>ROUND(INDEX(卡牌图鉴!$AB$2:$AB$53,MATCH(monster!C337,卡牌图鉴!$C$2:$C$57,0)) * INDEX(数值规划表!$D$61:$D$71,monster!E337+1)*血量调整,2)</f>
        <v>48.87</v>
      </c>
      <c r="H337" s="15">
        <f>ROUND(INDEX(卡牌图鉴!$AA$2:$AA$53,MATCH(monster!C337,卡牌图鉴!$C$2:$C$53,0)) * INDEX(数值规划表!$C$61:$C$71,monster!E337+1),2)</f>
        <v>138.16999999999999</v>
      </c>
      <c r="I337" s="15">
        <f>ROUND(INDEX(卡牌图鉴!$AA$2:$AA$53,MATCH(monster!C337,卡牌图鉴!$C$2:$C$53,0)) * INDEX(数值规划表!$E$61:$E$71,monster!E337+1),2)</f>
        <v>4.1500000000000004</v>
      </c>
      <c r="J337" s="15">
        <f>INDEX(卡牌图鉴!$J$2:$J$53,MATCH(monster!C337,卡牌图鉴!$C$2:$C$53,0))</f>
        <v>1.2</v>
      </c>
      <c r="K337" s="15">
        <f>INDEX(卡牌图鉴!$S$2:$S$53,MATCH(monster!C337,卡牌图鉴!$C$2:$C$53,0))</f>
        <v>4</v>
      </c>
      <c r="L337" s="15">
        <f>INDEX(卡牌图鉴!$H$2:$H$53,MATCH(monster!C337,卡牌图鉴!$C$2:$C$53,0))</f>
        <v>1.1000000000000001</v>
      </c>
      <c r="M337" s="15">
        <f>INDEX(卡牌图鉴!$L$2:$L$53,MATCH(monster!C337,卡牌图鉴!$C$2:$C$53,0))</f>
        <v>5</v>
      </c>
      <c r="N337" s="15">
        <f>INDEX(卡牌图鉴!$AD$2:$AD$53,MATCH(monster!C337,卡牌图鉴!$C$2:$C$53,0))</f>
        <v>6</v>
      </c>
      <c r="O337" s="78">
        <f>INDEX(卡牌图鉴!$K$2:$K$53,MATCH(monster!C337,卡牌图鉴!$C$2:$C$53,0))</f>
        <v>5</v>
      </c>
    </row>
    <row r="338" spans="1:15" x14ac:dyDescent="0.15">
      <c r="A338" s="31">
        <v>1467</v>
      </c>
      <c r="B338" s="31" t="s">
        <v>1463</v>
      </c>
      <c r="C338" s="31">
        <v>1461</v>
      </c>
      <c r="D338" s="15">
        <f>INDEX(卡牌图鉴!$S$2:$S$53,MATCH(monster!C338,卡牌图鉴!$C$2:$C$53,0))</f>
        <v>4</v>
      </c>
      <c r="E338" s="31">
        <v>6</v>
      </c>
      <c r="F338" s="15">
        <f>INT(INDEX(卡牌图鉴!$AB$2:$AB$53,MATCH(monster!C338,卡牌图鉴!$C$2:$C$57,0)) * INDEX(数值规划表!$B$61:$B$71,monster!E338+1) * 血量调整)</f>
        <v>1824</v>
      </c>
      <c r="G338" s="15">
        <f>ROUND(INDEX(卡牌图鉴!$AB$2:$AB$53,MATCH(monster!C338,卡牌图鉴!$C$2:$C$57,0)) * INDEX(数值规划表!$D$61:$D$71,monster!E338+1)*血量调整,2)</f>
        <v>54.73</v>
      </c>
      <c r="H338" s="15">
        <f>ROUND(INDEX(卡牌图鉴!$AA$2:$AA$53,MATCH(monster!C338,卡牌图鉴!$C$2:$C$53,0)) * INDEX(数值规划表!$C$61:$C$71,monster!E338+1),2)</f>
        <v>154.75</v>
      </c>
      <c r="I338" s="15">
        <f>ROUND(INDEX(卡牌图鉴!$AA$2:$AA$53,MATCH(monster!C338,卡牌图鉴!$C$2:$C$53,0)) * INDEX(数值规划表!$E$61:$E$71,monster!E338+1),2)</f>
        <v>4.6399999999999997</v>
      </c>
      <c r="J338" s="15">
        <f>INDEX(卡牌图鉴!$J$2:$J$53,MATCH(monster!C338,卡牌图鉴!$C$2:$C$53,0))</f>
        <v>1.2</v>
      </c>
      <c r="K338" s="15">
        <f>INDEX(卡牌图鉴!$S$2:$S$53,MATCH(monster!C338,卡牌图鉴!$C$2:$C$53,0))</f>
        <v>4</v>
      </c>
      <c r="L338" s="15">
        <f>INDEX(卡牌图鉴!$H$2:$H$53,MATCH(monster!C338,卡牌图鉴!$C$2:$C$53,0))</f>
        <v>1.1000000000000001</v>
      </c>
      <c r="M338" s="15">
        <f>INDEX(卡牌图鉴!$L$2:$L$53,MATCH(monster!C338,卡牌图鉴!$C$2:$C$53,0))</f>
        <v>5</v>
      </c>
      <c r="N338" s="15">
        <f>INDEX(卡牌图鉴!$AD$2:$AD$53,MATCH(monster!C338,卡牌图鉴!$C$2:$C$53,0))</f>
        <v>6</v>
      </c>
      <c r="O338" s="78">
        <f>INDEX(卡牌图鉴!$K$2:$K$53,MATCH(monster!C338,卡牌图鉴!$C$2:$C$53,0))</f>
        <v>5</v>
      </c>
    </row>
    <row r="339" spans="1:15" x14ac:dyDescent="0.15">
      <c r="A339" s="31">
        <v>1468</v>
      </c>
      <c r="B339" s="31" t="s">
        <v>1464</v>
      </c>
      <c r="C339" s="31">
        <v>1461</v>
      </c>
      <c r="D339" s="15">
        <f>INDEX(卡牌图鉴!$S$2:$S$53,MATCH(monster!C339,卡牌图鉴!$C$2:$C$53,0))</f>
        <v>4</v>
      </c>
      <c r="E339" s="31">
        <v>7</v>
      </c>
      <c r="F339" s="15">
        <f>INT(INDEX(卡牌图鉴!$AB$2:$AB$53,MATCH(monster!C339,卡牌图鉴!$C$2:$C$57,0)) * INDEX(数值规划表!$B$61:$B$71,monster!E339+1) * 血量调整)</f>
        <v>2043</v>
      </c>
      <c r="G339" s="15">
        <f>ROUND(INDEX(卡牌图鉴!$AB$2:$AB$53,MATCH(monster!C339,卡牌图鉴!$C$2:$C$57,0)) * INDEX(数值规划表!$D$61:$D$71,monster!E339+1)*血量调整,2)</f>
        <v>61.3</v>
      </c>
      <c r="H339" s="15">
        <f>ROUND(INDEX(卡牌图鉴!$AA$2:$AA$53,MATCH(monster!C339,卡牌图鉴!$C$2:$C$53,0)) * INDEX(数值规划表!$C$61:$C$71,monster!E339+1),2)</f>
        <v>173.32</v>
      </c>
      <c r="I339" s="15">
        <f>ROUND(INDEX(卡牌图鉴!$AA$2:$AA$53,MATCH(monster!C339,卡牌图鉴!$C$2:$C$53,0)) * INDEX(数值规划表!$E$61:$E$71,monster!E339+1),2)</f>
        <v>5.2</v>
      </c>
      <c r="J339" s="15">
        <f>INDEX(卡牌图鉴!$J$2:$J$53,MATCH(monster!C339,卡牌图鉴!$C$2:$C$53,0))</f>
        <v>1.2</v>
      </c>
      <c r="K339" s="15">
        <f>INDEX(卡牌图鉴!$S$2:$S$53,MATCH(monster!C339,卡牌图鉴!$C$2:$C$53,0))</f>
        <v>4</v>
      </c>
      <c r="L339" s="15">
        <f>INDEX(卡牌图鉴!$H$2:$H$53,MATCH(monster!C339,卡牌图鉴!$C$2:$C$53,0))</f>
        <v>1.1000000000000001</v>
      </c>
      <c r="M339" s="15">
        <f>INDEX(卡牌图鉴!$L$2:$L$53,MATCH(monster!C339,卡牌图鉴!$C$2:$C$53,0))</f>
        <v>5</v>
      </c>
      <c r="N339" s="15">
        <f>INDEX(卡牌图鉴!$AD$2:$AD$53,MATCH(monster!C339,卡牌图鉴!$C$2:$C$53,0))</f>
        <v>6</v>
      </c>
      <c r="O339" s="78">
        <f>INDEX(卡牌图鉴!$K$2:$K$53,MATCH(monster!C339,卡牌图鉴!$C$2:$C$53,0))</f>
        <v>5</v>
      </c>
    </row>
    <row r="340" spans="1:15" x14ac:dyDescent="0.15">
      <c r="A340" s="31">
        <v>1469</v>
      </c>
      <c r="B340" s="31" t="s">
        <v>1465</v>
      </c>
      <c r="C340" s="31">
        <v>1461</v>
      </c>
      <c r="D340" s="15">
        <f>INDEX(卡牌图鉴!$S$2:$S$53,MATCH(monster!C340,卡牌图鉴!$C$2:$C$53,0))</f>
        <v>4</v>
      </c>
      <c r="E340" s="31">
        <v>8</v>
      </c>
      <c r="F340" s="15">
        <f>INT(INDEX(卡牌图鉴!$AB$2:$AB$53,MATCH(monster!C340,卡牌图鉴!$C$2:$C$57,0)) * INDEX(数值规划表!$B$61:$B$71,monster!E340+1) * 血量调整)</f>
        <v>2288</v>
      </c>
      <c r="G340" s="15">
        <f>ROUND(INDEX(卡牌图鉴!$AB$2:$AB$53,MATCH(monster!C340,卡牌图鉴!$C$2:$C$57,0)) * INDEX(数值规划表!$D$61:$D$71,monster!E340+1)*血量调整,2)</f>
        <v>68.650000000000006</v>
      </c>
      <c r="H340" s="15">
        <f>ROUND(INDEX(卡牌图鉴!$AA$2:$AA$53,MATCH(monster!C340,卡牌图鉴!$C$2:$C$53,0)) * INDEX(数值规划表!$C$61:$C$71,monster!E340+1),2)</f>
        <v>194.12</v>
      </c>
      <c r="I340" s="15">
        <f>ROUND(INDEX(卡牌图鉴!$AA$2:$AA$53,MATCH(monster!C340,卡牌图鉴!$C$2:$C$53,0)) * INDEX(数值规划表!$E$61:$E$71,monster!E340+1),2)</f>
        <v>5.82</v>
      </c>
      <c r="J340" s="15">
        <f>INDEX(卡牌图鉴!$J$2:$J$53,MATCH(monster!C340,卡牌图鉴!$C$2:$C$53,0))</f>
        <v>1.2</v>
      </c>
      <c r="K340" s="15">
        <f>INDEX(卡牌图鉴!$S$2:$S$53,MATCH(monster!C340,卡牌图鉴!$C$2:$C$53,0))</f>
        <v>4</v>
      </c>
      <c r="L340" s="15">
        <f>INDEX(卡牌图鉴!$H$2:$H$53,MATCH(monster!C340,卡牌图鉴!$C$2:$C$53,0))</f>
        <v>1.1000000000000001</v>
      </c>
      <c r="M340" s="15">
        <f>INDEX(卡牌图鉴!$L$2:$L$53,MATCH(monster!C340,卡牌图鉴!$C$2:$C$53,0))</f>
        <v>5</v>
      </c>
      <c r="N340" s="15">
        <f>INDEX(卡牌图鉴!$AD$2:$AD$53,MATCH(monster!C340,卡牌图鉴!$C$2:$C$53,0))</f>
        <v>6</v>
      </c>
      <c r="O340" s="78">
        <f>INDEX(卡牌图鉴!$K$2:$K$53,MATCH(monster!C340,卡牌图鉴!$C$2:$C$53,0))</f>
        <v>5</v>
      </c>
    </row>
    <row r="341" spans="1:15" x14ac:dyDescent="0.15">
      <c r="A341" s="31">
        <v>1470</v>
      </c>
      <c r="B341" s="31" t="s">
        <v>1466</v>
      </c>
      <c r="C341" s="31">
        <v>1461</v>
      </c>
      <c r="D341" s="15">
        <f>INDEX(卡牌图鉴!$S$2:$S$53,MATCH(monster!C341,卡牌图鉴!$C$2:$C$53,0))</f>
        <v>4</v>
      </c>
      <c r="E341" s="31">
        <v>9</v>
      </c>
      <c r="F341" s="15">
        <f>INT(INDEX(卡牌图鉴!$AB$2:$AB$53,MATCH(monster!C341,卡牌图鉴!$C$2:$C$57,0)) * INDEX(数值规划表!$B$61:$B$71,monster!E341+1) * 血量调整)</f>
        <v>2563</v>
      </c>
      <c r="G341" s="15">
        <f>ROUND(INDEX(卡牌图鉴!$AB$2:$AB$53,MATCH(monster!C341,卡牌图鉴!$C$2:$C$57,0)) * INDEX(数值规划表!$D$61:$D$71,monster!E341+1)*血量调整,2)</f>
        <v>76.89</v>
      </c>
      <c r="H341" s="15">
        <f>ROUND(INDEX(卡牌图鉴!$AA$2:$AA$53,MATCH(monster!C341,卡牌图鉴!$C$2:$C$53,0)) * INDEX(数值规划表!$C$61:$C$71,monster!E341+1),2)</f>
        <v>217.41</v>
      </c>
      <c r="I341" s="15">
        <f>ROUND(INDEX(卡牌图鉴!$AA$2:$AA$53,MATCH(monster!C341,卡牌图鉴!$C$2:$C$53,0)) * INDEX(数值规划表!$E$61:$E$71,monster!E341+1),2)</f>
        <v>6.52</v>
      </c>
      <c r="J341" s="15">
        <f>INDEX(卡牌图鉴!$J$2:$J$53,MATCH(monster!C341,卡牌图鉴!$C$2:$C$53,0))</f>
        <v>1.2</v>
      </c>
      <c r="K341" s="15">
        <f>INDEX(卡牌图鉴!$S$2:$S$53,MATCH(monster!C341,卡牌图鉴!$C$2:$C$53,0))</f>
        <v>4</v>
      </c>
      <c r="L341" s="15">
        <f>INDEX(卡牌图鉴!$H$2:$H$53,MATCH(monster!C341,卡牌图鉴!$C$2:$C$53,0))</f>
        <v>1.1000000000000001</v>
      </c>
      <c r="M341" s="15">
        <f>INDEX(卡牌图鉴!$L$2:$L$53,MATCH(monster!C341,卡牌图鉴!$C$2:$C$53,0))</f>
        <v>5</v>
      </c>
      <c r="N341" s="15">
        <f>INDEX(卡牌图鉴!$AD$2:$AD$53,MATCH(monster!C341,卡牌图鉴!$C$2:$C$53,0))</f>
        <v>6</v>
      </c>
      <c r="O341" s="78">
        <f>INDEX(卡牌图鉴!$K$2:$K$53,MATCH(monster!C341,卡牌图鉴!$C$2:$C$53,0))</f>
        <v>5</v>
      </c>
    </row>
    <row r="342" spans="1:15" x14ac:dyDescent="0.15">
      <c r="A342" s="31">
        <v>1471</v>
      </c>
      <c r="B342" s="31" t="s">
        <v>1467</v>
      </c>
      <c r="C342" s="31">
        <v>1461</v>
      </c>
      <c r="D342" s="15">
        <f>INDEX(卡牌图鉴!$S$2:$S$53,MATCH(monster!C342,卡牌图鉴!$C$2:$C$53,0))</f>
        <v>4</v>
      </c>
      <c r="E342" s="31">
        <v>10</v>
      </c>
      <c r="F342" s="15">
        <f>INT(INDEX(卡牌图鉴!$AB$2:$AB$53,MATCH(monster!C342,卡牌图鉴!$C$2:$C$57,0)) * INDEX(数值规划表!$B$61:$B$71,monster!E342+1) * 血量调整)</f>
        <v>2870</v>
      </c>
      <c r="G342" s="15">
        <f>ROUND(INDEX(卡牌图鉴!$AB$2:$AB$53,MATCH(monster!C342,卡牌图鉴!$C$2:$C$57,0)) * INDEX(数值规划表!$D$61:$D$71,monster!E342+1)*血量调整,2)</f>
        <v>86.12</v>
      </c>
      <c r="H342" s="15">
        <f>ROUND(INDEX(卡牌图鉴!$AA$2:$AA$53,MATCH(monster!C342,卡牌图鉴!$C$2:$C$53,0)) * INDEX(数值规划表!$C$61:$C$71,monster!E342+1),2)</f>
        <v>243.5</v>
      </c>
      <c r="I342" s="15">
        <f>ROUND(INDEX(卡牌图鉴!$AA$2:$AA$53,MATCH(monster!C342,卡牌图鉴!$C$2:$C$53,0)) * INDEX(数值规划表!$E$61:$E$71,monster!E342+1),2)</f>
        <v>7.3</v>
      </c>
      <c r="J342" s="15">
        <f>INDEX(卡牌图鉴!$J$2:$J$53,MATCH(monster!C342,卡牌图鉴!$C$2:$C$53,0))</f>
        <v>1.2</v>
      </c>
      <c r="K342" s="15">
        <f>INDEX(卡牌图鉴!$S$2:$S$53,MATCH(monster!C342,卡牌图鉴!$C$2:$C$53,0))</f>
        <v>4</v>
      </c>
      <c r="L342" s="15">
        <f>INDEX(卡牌图鉴!$H$2:$H$53,MATCH(monster!C342,卡牌图鉴!$C$2:$C$53,0))</f>
        <v>1.1000000000000001</v>
      </c>
      <c r="M342" s="15">
        <f>INDEX(卡牌图鉴!$L$2:$L$53,MATCH(monster!C342,卡牌图鉴!$C$2:$C$53,0))</f>
        <v>5</v>
      </c>
      <c r="N342" s="15">
        <f>INDEX(卡牌图鉴!$AD$2:$AD$53,MATCH(monster!C342,卡牌图鉴!$C$2:$C$53,0))</f>
        <v>6</v>
      </c>
      <c r="O342" s="78">
        <f>INDEX(卡牌图鉴!$K$2:$K$53,MATCH(monster!C342,卡牌图鉴!$C$2:$C$53,0))</f>
        <v>5</v>
      </c>
    </row>
    <row r="343" spans="1:15" x14ac:dyDescent="0.15">
      <c r="A343" s="31">
        <v>1283</v>
      </c>
      <c r="B343" s="31" t="s">
        <v>1609</v>
      </c>
      <c r="C343" s="31">
        <v>1283</v>
      </c>
      <c r="D343" s="15">
        <f>INDEX(卡牌图鉴!$S$2:$S$53,MATCH(monster!C343,卡牌图鉴!$C$2:$C$53,0))</f>
        <v>3</v>
      </c>
      <c r="E343" s="31">
        <v>0</v>
      </c>
      <c r="F343" s="15">
        <f>INT(INDEX(卡牌图鉴!$AB$2:$AB$53,MATCH(monster!C343,卡牌图鉴!$C$2:$C$57,0)) * INDEX(数值规划表!$B$61:$B$71,monster!E343+1) * 血量调整)</f>
        <v>883</v>
      </c>
      <c r="G343" s="15">
        <f>ROUND(INDEX(卡牌图鉴!$AB$2:$AB$53,MATCH(monster!C343,卡牌图鉴!$C$2:$C$57,0)) * INDEX(数值规划表!$D$61:$D$71,monster!E343+1)*血量调整,2)</f>
        <v>26.49</v>
      </c>
      <c r="H343" s="15">
        <f>ROUND(INDEX(卡牌图鉴!$AA$2:$AA$53,MATCH(monster!C343,卡牌图鉴!$C$2:$C$53,0)) * INDEX(数值规划表!$C$61:$C$71,monster!E343+1),2)</f>
        <v>121.31</v>
      </c>
      <c r="I343" s="15">
        <f>ROUND(INDEX(卡牌图鉴!$AA$2:$AA$53,MATCH(monster!C343,卡牌图鉴!$C$2:$C$53,0)) * INDEX(数值规划表!$E$61:$E$71,monster!E343+1),2)</f>
        <v>3.64</v>
      </c>
      <c r="J343" s="15">
        <f>INDEX(卡牌图鉴!$J$2:$J$53,MATCH(monster!C343,卡牌图鉴!$C$2:$C$53,0))</f>
        <v>1.2</v>
      </c>
      <c r="K343" s="15">
        <f>INDEX(卡牌图鉴!$S$2:$S$53,MATCH(monster!C343,卡牌图鉴!$C$2:$C$53,0))</f>
        <v>3</v>
      </c>
      <c r="L343" s="15">
        <f>INDEX(卡牌图鉴!$H$2:$H$53,MATCH(monster!C343,卡牌图鉴!$C$2:$C$53,0))</f>
        <v>0.8</v>
      </c>
      <c r="M343" s="15">
        <f>INDEX(卡牌图鉴!$L$2:$L$53,MATCH(monster!C343,卡牌图鉴!$C$2:$C$53,0))</f>
        <v>6</v>
      </c>
      <c r="N343" s="15">
        <f>INDEX(卡牌图鉴!$AD$2:$AD$53,MATCH(monster!C343,卡牌图鉴!$C$2:$C$53,0))</f>
        <v>8</v>
      </c>
      <c r="O343" s="78">
        <f>INDEX(卡牌图鉴!$K$2:$K$53,MATCH(monster!C343,卡牌图鉴!$C$2:$C$53,0))</f>
        <v>5</v>
      </c>
    </row>
    <row r="344" spans="1:15" x14ac:dyDescent="0.15">
      <c r="A344" s="31">
        <v>1284</v>
      </c>
      <c r="B344" s="31" t="s">
        <v>1610</v>
      </c>
      <c r="C344" s="31">
        <v>1283</v>
      </c>
      <c r="D344" s="15">
        <f>INDEX(卡牌图鉴!$S$2:$S$53,MATCH(monster!C344,卡牌图鉴!$C$2:$C$53,0))</f>
        <v>3</v>
      </c>
      <c r="E344" s="31">
        <v>1</v>
      </c>
      <c r="F344" s="15">
        <f>INT(INDEX(卡牌图鉴!$AB$2:$AB$53,MATCH(monster!C344,卡牌图鉴!$C$2:$C$57,0)) * INDEX(数值规划表!$B$61:$B$71,monster!E344+1) * 血量调整)</f>
        <v>989</v>
      </c>
      <c r="G344" s="15">
        <f>ROUND(INDEX(卡牌图鉴!$AB$2:$AB$53,MATCH(monster!C344,卡牌图鉴!$C$2:$C$57,0)) * INDEX(数值规划表!$D$61:$D$71,monster!E344+1)*血量调整,2)</f>
        <v>29.67</v>
      </c>
      <c r="H344" s="15">
        <f>ROUND(INDEX(卡牌图鉴!$AA$2:$AA$53,MATCH(monster!C344,卡牌图鉴!$C$2:$C$53,0)) * INDEX(数值规划表!$C$61:$C$71,monster!E344+1),2)</f>
        <v>135.87</v>
      </c>
      <c r="I344" s="15">
        <f>ROUND(INDEX(卡牌图鉴!$AA$2:$AA$53,MATCH(monster!C344,卡牌图鉴!$C$2:$C$53,0)) * INDEX(数值规划表!$E$61:$E$71,monster!E344+1),2)</f>
        <v>4.08</v>
      </c>
      <c r="J344" s="15">
        <f>INDEX(卡牌图鉴!$J$2:$J$53,MATCH(monster!C344,卡牌图鉴!$C$2:$C$53,0))</f>
        <v>1.2</v>
      </c>
      <c r="K344" s="15">
        <f>INDEX(卡牌图鉴!$S$2:$S$53,MATCH(monster!C344,卡牌图鉴!$C$2:$C$53,0))</f>
        <v>3</v>
      </c>
      <c r="L344" s="15">
        <f>INDEX(卡牌图鉴!$H$2:$H$53,MATCH(monster!C344,卡牌图鉴!$C$2:$C$53,0))</f>
        <v>0.8</v>
      </c>
      <c r="M344" s="15">
        <f>INDEX(卡牌图鉴!$L$2:$L$53,MATCH(monster!C344,卡牌图鉴!$C$2:$C$53,0))</f>
        <v>6</v>
      </c>
      <c r="N344" s="15">
        <f>INDEX(卡牌图鉴!$AD$2:$AD$53,MATCH(monster!C344,卡牌图鉴!$C$2:$C$53,0))</f>
        <v>8</v>
      </c>
      <c r="O344" s="78">
        <f>INDEX(卡牌图鉴!$K$2:$K$53,MATCH(monster!C344,卡牌图鉴!$C$2:$C$53,0))</f>
        <v>5</v>
      </c>
    </row>
    <row r="345" spans="1:15" x14ac:dyDescent="0.15">
      <c r="A345" s="31">
        <v>1285</v>
      </c>
      <c r="B345" s="31" t="s">
        <v>1611</v>
      </c>
      <c r="C345" s="31">
        <v>1283</v>
      </c>
      <c r="D345" s="15">
        <f>INDEX(卡牌图鉴!$S$2:$S$53,MATCH(monster!C345,卡牌图鉴!$C$2:$C$53,0))</f>
        <v>3</v>
      </c>
      <c r="E345" s="31">
        <v>2</v>
      </c>
      <c r="F345" s="15">
        <f>INT(INDEX(卡牌图鉴!$AB$2:$AB$53,MATCH(monster!C345,卡牌图鉴!$C$2:$C$57,0)) * INDEX(数值规划表!$B$61:$B$71,monster!E345+1) * 血量调整)</f>
        <v>1107</v>
      </c>
      <c r="G345" s="15">
        <f>ROUND(INDEX(卡牌图鉴!$AB$2:$AB$53,MATCH(monster!C345,卡牌图鉴!$C$2:$C$57,0)) * INDEX(数值规划表!$D$61:$D$71,monster!E345+1)*血量调整,2)</f>
        <v>33.24</v>
      </c>
      <c r="H345" s="15">
        <f>ROUND(INDEX(卡牌图鉴!$AA$2:$AA$53,MATCH(monster!C345,卡牌图鉴!$C$2:$C$53,0)) * INDEX(数值规划表!$C$61:$C$71,monster!E345+1),2)</f>
        <v>152.16999999999999</v>
      </c>
      <c r="I345" s="15">
        <f>ROUND(INDEX(卡牌图鉴!$AA$2:$AA$53,MATCH(monster!C345,卡牌图鉴!$C$2:$C$53,0)) * INDEX(数值规划表!$E$61:$E$71,monster!E345+1),2)</f>
        <v>4.57</v>
      </c>
      <c r="J345" s="15">
        <f>INDEX(卡牌图鉴!$J$2:$J$53,MATCH(monster!C345,卡牌图鉴!$C$2:$C$53,0))</f>
        <v>1.2</v>
      </c>
      <c r="K345" s="15">
        <f>INDEX(卡牌图鉴!$S$2:$S$53,MATCH(monster!C345,卡牌图鉴!$C$2:$C$53,0))</f>
        <v>3</v>
      </c>
      <c r="L345" s="15">
        <f>INDEX(卡牌图鉴!$H$2:$H$53,MATCH(monster!C345,卡牌图鉴!$C$2:$C$53,0))</f>
        <v>0.8</v>
      </c>
      <c r="M345" s="15">
        <f>INDEX(卡牌图鉴!$L$2:$L$53,MATCH(monster!C345,卡牌图鉴!$C$2:$C$53,0))</f>
        <v>6</v>
      </c>
      <c r="N345" s="15">
        <f>INDEX(卡牌图鉴!$AD$2:$AD$53,MATCH(monster!C345,卡牌图鉴!$C$2:$C$53,0))</f>
        <v>8</v>
      </c>
      <c r="O345" s="78">
        <f>INDEX(卡牌图鉴!$K$2:$K$53,MATCH(monster!C345,卡牌图鉴!$C$2:$C$53,0))</f>
        <v>5</v>
      </c>
    </row>
    <row r="346" spans="1:15" x14ac:dyDescent="0.15">
      <c r="A346" s="31">
        <v>1286</v>
      </c>
      <c r="B346" s="31" t="s">
        <v>1612</v>
      </c>
      <c r="C346" s="31">
        <v>1283</v>
      </c>
      <c r="D346" s="15">
        <f>INDEX(卡牌图鉴!$S$2:$S$53,MATCH(monster!C346,卡牌图鉴!$C$2:$C$53,0))</f>
        <v>3</v>
      </c>
      <c r="E346" s="31">
        <v>3</v>
      </c>
      <c r="F346" s="15">
        <f>INT(INDEX(卡牌图鉴!$AB$2:$AB$53,MATCH(monster!C346,卡牌图鉴!$C$2:$C$57,0)) * INDEX(数值规划表!$B$61:$B$71,monster!E346+1) * 血量调整)</f>
        <v>1240</v>
      </c>
      <c r="G346" s="15">
        <f>ROUND(INDEX(卡牌图鉴!$AB$2:$AB$53,MATCH(monster!C346,卡牌图鉴!$C$2:$C$57,0)) * INDEX(数值规划表!$D$61:$D$71,monster!E346+1)*血量调整,2)</f>
        <v>37.22</v>
      </c>
      <c r="H346" s="15">
        <f>ROUND(INDEX(卡牌图鉴!$AA$2:$AA$53,MATCH(monster!C346,卡牌图鉴!$C$2:$C$53,0)) * INDEX(数值规划表!$C$61:$C$71,monster!E346+1),2)</f>
        <v>170.43</v>
      </c>
      <c r="I346" s="15">
        <f>ROUND(INDEX(卡牌图鉴!$AA$2:$AA$53,MATCH(monster!C346,卡牌图鉴!$C$2:$C$53,0)) * INDEX(数值规划表!$E$61:$E$71,monster!E346+1),2)</f>
        <v>5.1100000000000003</v>
      </c>
      <c r="J346" s="15">
        <f>INDEX(卡牌图鉴!$J$2:$J$53,MATCH(monster!C346,卡牌图鉴!$C$2:$C$53,0))</f>
        <v>1.2</v>
      </c>
      <c r="K346" s="15">
        <f>INDEX(卡牌图鉴!$S$2:$S$53,MATCH(monster!C346,卡牌图鉴!$C$2:$C$53,0))</f>
        <v>3</v>
      </c>
      <c r="L346" s="15">
        <f>INDEX(卡牌图鉴!$H$2:$H$53,MATCH(monster!C346,卡牌图鉴!$C$2:$C$53,0))</f>
        <v>0.8</v>
      </c>
      <c r="M346" s="15">
        <f>INDEX(卡牌图鉴!$L$2:$L$53,MATCH(monster!C346,卡牌图鉴!$C$2:$C$53,0))</f>
        <v>6</v>
      </c>
      <c r="N346" s="15">
        <f>INDEX(卡牌图鉴!$AD$2:$AD$53,MATCH(monster!C346,卡牌图鉴!$C$2:$C$53,0))</f>
        <v>8</v>
      </c>
      <c r="O346" s="78">
        <f>INDEX(卡牌图鉴!$K$2:$K$53,MATCH(monster!C346,卡牌图鉴!$C$2:$C$53,0))</f>
        <v>5</v>
      </c>
    </row>
    <row r="347" spans="1:15" x14ac:dyDescent="0.15">
      <c r="A347" s="31">
        <v>1287</v>
      </c>
      <c r="B347" s="31" t="s">
        <v>1613</v>
      </c>
      <c r="C347" s="31">
        <v>1283</v>
      </c>
      <c r="D347" s="15">
        <f>INDEX(卡牌图鉴!$S$2:$S$53,MATCH(monster!C347,卡牌图鉴!$C$2:$C$53,0))</f>
        <v>3</v>
      </c>
      <c r="E347" s="31">
        <v>4</v>
      </c>
      <c r="F347" s="15">
        <f>INT(INDEX(卡牌图鉴!$AB$2:$AB$53,MATCH(monster!C347,卡牌图鉴!$C$2:$C$57,0)) * INDEX(数值规划表!$B$61:$B$71,monster!E347+1) * 血量调整)</f>
        <v>1389</v>
      </c>
      <c r="G347" s="15">
        <f>ROUND(INDEX(卡牌图鉴!$AB$2:$AB$53,MATCH(monster!C347,卡牌图鉴!$C$2:$C$57,0)) * INDEX(数值规划表!$D$61:$D$71,monster!E347+1)*血量调整,2)</f>
        <v>41.69</v>
      </c>
      <c r="H347" s="15">
        <f>ROUND(INDEX(卡牌图鉴!$AA$2:$AA$53,MATCH(monster!C347,卡牌图鉴!$C$2:$C$53,0)) * INDEX(数值规划表!$C$61:$C$71,monster!E347+1),2)</f>
        <v>190.88</v>
      </c>
      <c r="I347" s="15">
        <f>ROUND(INDEX(卡牌图鉴!$AA$2:$AA$53,MATCH(monster!C347,卡牌图鉴!$C$2:$C$53,0)) * INDEX(数值规划表!$E$61:$E$71,monster!E347+1),2)</f>
        <v>5.73</v>
      </c>
      <c r="J347" s="15">
        <f>INDEX(卡牌图鉴!$J$2:$J$53,MATCH(monster!C347,卡牌图鉴!$C$2:$C$53,0))</f>
        <v>1.2</v>
      </c>
      <c r="K347" s="15">
        <f>INDEX(卡牌图鉴!$S$2:$S$53,MATCH(monster!C347,卡牌图鉴!$C$2:$C$53,0))</f>
        <v>3</v>
      </c>
      <c r="L347" s="15">
        <f>INDEX(卡牌图鉴!$H$2:$H$53,MATCH(monster!C347,卡牌图鉴!$C$2:$C$53,0))</f>
        <v>0.8</v>
      </c>
      <c r="M347" s="15">
        <f>INDEX(卡牌图鉴!$L$2:$L$53,MATCH(monster!C347,卡牌图鉴!$C$2:$C$53,0))</f>
        <v>6</v>
      </c>
      <c r="N347" s="15">
        <f>INDEX(卡牌图鉴!$AD$2:$AD$53,MATCH(monster!C347,卡牌图鉴!$C$2:$C$53,0))</f>
        <v>8</v>
      </c>
      <c r="O347" s="78">
        <f>INDEX(卡牌图鉴!$K$2:$K$53,MATCH(monster!C347,卡牌图鉴!$C$2:$C$53,0))</f>
        <v>5</v>
      </c>
    </row>
    <row r="348" spans="1:15" x14ac:dyDescent="0.15">
      <c r="A348" s="31">
        <v>1288</v>
      </c>
      <c r="B348" s="31" t="s">
        <v>1614</v>
      </c>
      <c r="C348" s="31">
        <v>1283</v>
      </c>
      <c r="D348" s="15">
        <f>INDEX(卡牌图鉴!$S$2:$S$53,MATCH(monster!C348,卡牌图鉴!$C$2:$C$53,0))</f>
        <v>3</v>
      </c>
      <c r="E348" s="31">
        <v>5</v>
      </c>
      <c r="F348" s="15">
        <f>INT(INDEX(卡牌图鉴!$AB$2:$AB$53,MATCH(monster!C348,卡牌图鉴!$C$2:$C$57,0)) * INDEX(数值规划表!$B$61:$B$71,monster!E348+1) * 血量调整)</f>
        <v>1556</v>
      </c>
      <c r="G348" s="15">
        <f>ROUND(INDEX(卡牌图鉴!$AB$2:$AB$53,MATCH(monster!C348,卡牌图鉴!$C$2:$C$57,0)) * INDEX(数值规划表!$D$61:$D$71,monster!E348+1)*血量调整,2)</f>
        <v>46.69</v>
      </c>
      <c r="H348" s="15">
        <f>ROUND(INDEX(卡牌图鉴!$AA$2:$AA$53,MATCH(monster!C348,卡牌图鉴!$C$2:$C$53,0)) * INDEX(数值规划表!$C$61:$C$71,monster!E348+1),2)</f>
        <v>213.79</v>
      </c>
      <c r="I348" s="15">
        <f>ROUND(INDEX(卡牌图鉴!$AA$2:$AA$53,MATCH(monster!C348,卡牌图鉴!$C$2:$C$53,0)) * INDEX(数值规划表!$E$61:$E$71,monster!E348+1),2)</f>
        <v>6.41</v>
      </c>
      <c r="J348" s="15">
        <f>INDEX(卡牌图鉴!$J$2:$J$53,MATCH(monster!C348,卡牌图鉴!$C$2:$C$53,0))</f>
        <v>1.2</v>
      </c>
      <c r="K348" s="15">
        <f>INDEX(卡牌图鉴!$S$2:$S$53,MATCH(monster!C348,卡牌图鉴!$C$2:$C$53,0))</f>
        <v>3</v>
      </c>
      <c r="L348" s="15">
        <f>INDEX(卡牌图鉴!$H$2:$H$53,MATCH(monster!C348,卡牌图鉴!$C$2:$C$53,0))</f>
        <v>0.8</v>
      </c>
      <c r="M348" s="15">
        <f>INDEX(卡牌图鉴!$L$2:$L$53,MATCH(monster!C348,卡牌图鉴!$C$2:$C$53,0))</f>
        <v>6</v>
      </c>
      <c r="N348" s="15">
        <f>INDEX(卡牌图鉴!$AD$2:$AD$53,MATCH(monster!C348,卡牌图鉴!$C$2:$C$53,0))</f>
        <v>8</v>
      </c>
      <c r="O348" s="78">
        <f>INDEX(卡牌图鉴!$K$2:$K$53,MATCH(monster!C348,卡牌图鉴!$C$2:$C$53,0))</f>
        <v>5</v>
      </c>
    </row>
    <row r="349" spans="1:15" x14ac:dyDescent="0.15">
      <c r="A349" s="31">
        <v>1289</v>
      </c>
      <c r="B349" s="31" t="s">
        <v>1615</v>
      </c>
      <c r="C349" s="31">
        <v>1283</v>
      </c>
      <c r="D349" s="15">
        <f>INDEX(卡牌图鉴!$S$2:$S$53,MATCH(monster!C349,卡牌图鉴!$C$2:$C$53,0))</f>
        <v>3</v>
      </c>
      <c r="E349" s="31">
        <v>6</v>
      </c>
      <c r="F349" s="15">
        <f>INT(INDEX(卡牌图鉴!$AB$2:$AB$53,MATCH(monster!C349,卡牌图鉴!$C$2:$C$57,0)) * INDEX(数值规划表!$B$61:$B$71,monster!E349+1) * 血量调整)</f>
        <v>1743</v>
      </c>
      <c r="G349" s="15">
        <f>ROUND(INDEX(卡牌图鉴!$AB$2:$AB$53,MATCH(monster!C349,卡牌图鉴!$C$2:$C$57,0)) * INDEX(数值规划表!$D$61:$D$71,monster!E349+1)*血量调整,2)</f>
        <v>52.3</v>
      </c>
      <c r="H349" s="15">
        <f>ROUND(INDEX(卡牌图鉴!$AA$2:$AA$53,MATCH(monster!C349,卡牌图鉴!$C$2:$C$53,0)) * INDEX(数值规划表!$C$61:$C$71,monster!E349+1),2)</f>
        <v>239.44</v>
      </c>
      <c r="I349" s="15">
        <f>ROUND(INDEX(卡牌图鉴!$AA$2:$AA$53,MATCH(monster!C349,卡牌图鉴!$C$2:$C$53,0)) * INDEX(数值规划表!$E$61:$E$71,monster!E349+1),2)</f>
        <v>7.18</v>
      </c>
      <c r="J349" s="15">
        <f>INDEX(卡牌图鉴!$J$2:$J$53,MATCH(monster!C349,卡牌图鉴!$C$2:$C$53,0))</f>
        <v>1.2</v>
      </c>
      <c r="K349" s="15">
        <f>INDEX(卡牌图鉴!$S$2:$S$53,MATCH(monster!C349,卡牌图鉴!$C$2:$C$53,0))</f>
        <v>3</v>
      </c>
      <c r="L349" s="15">
        <f>INDEX(卡牌图鉴!$H$2:$H$53,MATCH(monster!C349,卡牌图鉴!$C$2:$C$53,0))</f>
        <v>0.8</v>
      </c>
      <c r="M349" s="15">
        <f>INDEX(卡牌图鉴!$L$2:$L$53,MATCH(monster!C349,卡牌图鉴!$C$2:$C$53,0))</f>
        <v>6</v>
      </c>
      <c r="N349" s="15">
        <f>INDEX(卡牌图鉴!$AD$2:$AD$53,MATCH(monster!C349,卡牌图鉴!$C$2:$C$53,0))</f>
        <v>8</v>
      </c>
      <c r="O349" s="78">
        <f>INDEX(卡牌图鉴!$K$2:$K$53,MATCH(monster!C349,卡牌图鉴!$C$2:$C$53,0))</f>
        <v>5</v>
      </c>
    </row>
    <row r="350" spans="1:15" x14ac:dyDescent="0.15">
      <c r="A350" s="31">
        <v>1290</v>
      </c>
      <c r="B350" s="31" t="s">
        <v>1616</v>
      </c>
      <c r="C350" s="31">
        <v>1283</v>
      </c>
      <c r="D350" s="15">
        <f>INDEX(卡牌图鉴!$S$2:$S$53,MATCH(monster!C350,卡牌图鉴!$C$2:$C$53,0))</f>
        <v>3</v>
      </c>
      <c r="E350" s="31">
        <v>7</v>
      </c>
      <c r="F350" s="15">
        <f>INT(INDEX(卡牌图鉴!$AB$2:$AB$53,MATCH(monster!C350,卡牌图鉴!$C$2:$C$57,0)) * INDEX(数值规划表!$B$61:$B$71,monster!E350+1) * 血量调整)</f>
        <v>1952</v>
      </c>
      <c r="G350" s="15">
        <f>ROUND(INDEX(卡牌图鉴!$AB$2:$AB$53,MATCH(monster!C350,卡牌图鉴!$C$2:$C$57,0)) * INDEX(数值规划表!$D$61:$D$71,monster!E350+1)*血量调整,2)</f>
        <v>58.57</v>
      </c>
      <c r="H350" s="15">
        <f>ROUND(INDEX(卡牌图鉴!$AA$2:$AA$53,MATCH(monster!C350,卡牌图鉴!$C$2:$C$53,0)) * INDEX(数值规划表!$C$61:$C$71,monster!E350+1),2)</f>
        <v>268.18</v>
      </c>
      <c r="I350" s="15">
        <f>ROUND(INDEX(卡牌图鉴!$AA$2:$AA$53,MATCH(monster!C350,卡牌图鉴!$C$2:$C$53,0)) * INDEX(数值规划表!$E$61:$E$71,monster!E350+1),2)</f>
        <v>8.0500000000000007</v>
      </c>
      <c r="J350" s="15">
        <f>INDEX(卡牌图鉴!$J$2:$J$53,MATCH(monster!C350,卡牌图鉴!$C$2:$C$53,0))</f>
        <v>1.2</v>
      </c>
      <c r="K350" s="15">
        <f>INDEX(卡牌图鉴!$S$2:$S$53,MATCH(monster!C350,卡牌图鉴!$C$2:$C$53,0))</f>
        <v>3</v>
      </c>
      <c r="L350" s="15">
        <f>INDEX(卡牌图鉴!$H$2:$H$53,MATCH(monster!C350,卡牌图鉴!$C$2:$C$53,0))</f>
        <v>0.8</v>
      </c>
      <c r="M350" s="15">
        <f>INDEX(卡牌图鉴!$L$2:$L$53,MATCH(monster!C350,卡牌图鉴!$C$2:$C$53,0))</f>
        <v>6</v>
      </c>
      <c r="N350" s="15">
        <f>INDEX(卡牌图鉴!$AD$2:$AD$53,MATCH(monster!C350,卡牌图鉴!$C$2:$C$53,0))</f>
        <v>8</v>
      </c>
      <c r="O350" s="78">
        <f>INDEX(卡牌图鉴!$K$2:$K$53,MATCH(monster!C350,卡牌图鉴!$C$2:$C$53,0))</f>
        <v>5</v>
      </c>
    </row>
    <row r="351" spans="1:15" x14ac:dyDescent="0.15">
      <c r="A351" s="31">
        <v>1291</v>
      </c>
      <c r="B351" s="31" t="s">
        <v>1617</v>
      </c>
      <c r="C351" s="31">
        <v>1283</v>
      </c>
      <c r="D351" s="15">
        <f>INDEX(卡牌图鉴!$S$2:$S$53,MATCH(monster!C351,卡牌图鉴!$C$2:$C$53,0))</f>
        <v>3</v>
      </c>
      <c r="E351" s="31">
        <v>8</v>
      </c>
      <c r="F351" s="15">
        <f>INT(INDEX(卡牌图鉴!$AB$2:$AB$53,MATCH(monster!C351,卡牌图鉴!$C$2:$C$57,0)) * INDEX(数值规划表!$B$61:$B$71,monster!E351+1) * 血量调整)</f>
        <v>2186</v>
      </c>
      <c r="G351" s="15">
        <f>ROUND(INDEX(卡牌图鉴!$AB$2:$AB$53,MATCH(monster!C351,卡牌图鉴!$C$2:$C$57,0)) * INDEX(数值规划表!$D$61:$D$71,monster!E351+1)*血量调整,2)</f>
        <v>65.599999999999994</v>
      </c>
      <c r="H351" s="15">
        <f>ROUND(INDEX(卡牌图鉴!$AA$2:$AA$53,MATCH(monster!C351,卡牌图鉴!$C$2:$C$53,0)) * INDEX(数值规划表!$C$61:$C$71,monster!E351+1),2)</f>
        <v>300.36</v>
      </c>
      <c r="I351" s="15">
        <f>ROUND(INDEX(卡牌图鉴!$AA$2:$AA$53,MATCH(monster!C351,卡牌图鉴!$C$2:$C$53,0)) * INDEX(数值规划表!$E$61:$E$71,monster!E351+1),2)</f>
        <v>9.01</v>
      </c>
      <c r="J351" s="15">
        <f>INDEX(卡牌图鉴!$J$2:$J$53,MATCH(monster!C351,卡牌图鉴!$C$2:$C$53,0))</f>
        <v>1.2</v>
      </c>
      <c r="K351" s="15">
        <f>INDEX(卡牌图鉴!$S$2:$S$53,MATCH(monster!C351,卡牌图鉴!$C$2:$C$53,0))</f>
        <v>3</v>
      </c>
      <c r="L351" s="15">
        <f>INDEX(卡牌图鉴!$H$2:$H$53,MATCH(monster!C351,卡牌图鉴!$C$2:$C$53,0))</f>
        <v>0.8</v>
      </c>
      <c r="M351" s="15">
        <f>INDEX(卡牌图鉴!$L$2:$L$53,MATCH(monster!C351,卡牌图鉴!$C$2:$C$53,0))</f>
        <v>6</v>
      </c>
      <c r="N351" s="15">
        <f>INDEX(卡牌图鉴!$AD$2:$AD$53,MATCH(monster!C351,卡牌图鉴!$C$2:$C$53,0))</f>
        <v>8</v>
      </c>
      <c r="O351" s="78">
        <f>INDEX(卡牌图鉴!$K$2:$K$53,MATCH(monster!C351,卡牌图鉴!$C$2:$C$53,0))</f>
        <v>5</v>
      </c>
    </row>
    <row r="352" spans="1:15" x14ac:dyDescent="0.15">
      <c r="A352" s="31">
        <v>1292</v>
      </c>
      <c r="B352" s="31" t="s">
        <v>1618</v>
      </c>
      <c r="C352" s="31">
        <v>1283</v>
      </c>
      <c r="D352" s="15">
        <f>INDEX(卡牌图鉴!$S$2:$S$53,MATCH(monster!C352,卡牌图鉴!$C$2:$C$53,0))</f>
        <v>3</v>
      </c>
      <c r="E352" s="31">
        <v>9</v>
      </c>
      <c r="F352" s="15">
        <f>INT(INDEX(卡牌图鉴!$AB$2:$AB$53,MATCH(monster!C352,卡牌图鉴!$C$2:$C$57,0)) * INDEX(数值规划表!$B$61:$B$71,monster!E352+1) * 血量调整)</f>
        <v>2449</v>
      </c>
      <c r="G352" s="15">
        <f>ROUND(INDEX(卡牌图鉴!$AB$2:$AB$53,MATCH(monster!C352,卡牌图鉴!$C$2:$C$57,0)) * INDEX(数值规划表!$D$61:$D$71,monster!E352+1)*血量调整,2)</f>
        <v>73.47</v>
      </c>
      <c r="H352" s="15">
        <f>ROUND(INDEX(卡牌图鉴!$AA$2:$AA$53,MATCH(monster!C352,卡牌图鉴!$C$2:$C$53,0)) * INDEX(数值规划表!$C$61:$C$71,monster!E352+1),2)</f>
        <v>336.4</v>
      </c>
      <c r="I352" s="15">
        <f>ROUND(INDEX(卡牌图鉴!$AA$2:$AA$53,MATCH(monster!C352,卡牌图鉴!$C$2:$C$53,0)) * INDEX(数值规划表!$E$61:$E$71,monster!E352+1),2)</f>
        <v>10.09</v>
      </c>
      <c r="J352" s="15">
        <f>INDEX(卡牌图鉴!$J$2:$J$53,MATCH(monster!C352,卡牌图鉴!$C$2:$C$53,0))</f>
        <v>1.2</v>
      </c>
      <c r="K352" s="15">
        <f>INDEX(卡牌图鉴!$S$2:$S$53,MATCH(monster!C352,卡牌图鉴!$C$2:$C$53,0))</f>
        <v>3</v>
      </c>
      <c r="L352" s="15">
        <f>INDEX(卡牌图鉴!$H$2:$H$53,MATCH(monster!C352,卡牌图鉴!$C$2:$C$53,0))</f>
        <v>0.8</v>
      </c>
      <c r="M352" s="15">
        <f>INDEX(卡牌图鉴!$L$2:$L$53,MATCH(monster!C352,卡牌图鉴!$C$2:$C$53,0))</f>
        <v>6</v>
      </c>
      <c r="N352" s="15">
        <f>INDEX(卡牌图鉴!$AD$2:$AD$53,MATCH(monster!C352,卡牌图鉴!$C$2:$C$53,0))</f>
        <v>8</v>
      </c>
      <c r="O352" s="78">
        <f>INDEX(卡牌图鉴!$K$2:$K$53,MATCH(monster!C352,卡牌图鉴!$C$2:$C$53,0))</f>
        <v>5</v>
      </c>
    </row>
    <row r="353" spans="1:15" x14ac:dyDescent="0.15">
      <c r="A353" s="31">
        <v>1293</v>
      </c>
      <c r="B353" s="31" t="s">
        <v>1619</v>
      </c>
      <c r="C353" s="31">
        <v>1283</v>
      </c>
      <c r="D353" s="15">
        <f>INDEX(卡牌图鉴!$S$2:$S$53,MATCH(monster!C353,卡牌图鉴!$C$2:$C$53,0))</f>
        <v>3</v>
      </c>
      <c r="E353" s="31">
        <v>10</v>
      </c>
      <c r="F353" s="15">
        <f>INT(INDEX(卡牌图鉴!$AB$2:$AB$53,MATCH(monster!C353,卡牌图鉴!$C$2:$C$57,0)) * INDEX(数值规划表!$B$61:$B$71,monster!E353+1) * 血量调整)</f>
        <v>2742</v>
      </c>
      <c r="G353" s="15">
        <f>ROUND(INDEX(卡牌图鉴!$AB$2:$AB$53,MATCH(monster!C353,卡牌图鉴!$C$2:$C$57,0)) * INDEX(数值规划表!$D$61:$D$71,monster!E353+1)*血量调整,2)</f>
        <v>82.29</v>
      </c>
      <c r="H353" s="15">
        <f>ROUND(INDEX(卡牌图鉴!$AA$2:$AA$53,MATCH(monster!C353,卡牌图鉴!$C$2:$C$53,0)) * INDEX(数值规划表!$C$61:$C$71,monster!E353+1),2)</f>
        <v>376.77</v>
      </c>
      <c r="I353" s="15">
        <f>ROUND(INDEX(卡牌图鉴!$AA$2:$AA$53,MATCH(monster!C353,卡牌图鉴!$C$2:$C$53,0)) * INDEX(数值规划表!$E$61:$E$71,monster!E353+1),2)</f>
        <v>11.3</v>
      </c>
      <c r="J353" s="15">
        <f>INDEX(卡牌图鉴!$J$2:$J$53,MATCH(monster!C353,卡牌图鉴!$C$2:$C$53,0))</f>
        <v>1.2</v>
      </c>
      <c r="K353" s="15">
        <f>INDEX(卡牌图鉴!$S$2:$S$53,MATCH(monster!C353,卡牌图鉴!$C$2:$C$53,0))</f>
        <v>3</v>
      </c>
      <c r="L353" s="15">
        <f>INDEX(卡牌图鉴!$H$2:$H$53,MATCH(monster!C353,卡牌图鉴!$C$2:$C$53,0))</f>
        <v>0.8</v>
      </c>
      <c r="M353" s="15">
        <f>INDEX(卡牌图鉴!$L$2:$L$53,MATCH(monster!C353,卡牌图鉴!$C$2:$C$53,0))</f>
        <v>6</v>
      </c>
      <c r="N353" s="15">
        <f>INDEX(卡牌图鉴!$AD$2:$AD$53,MATCH(monster!C353,卡牌图鉴!$C$2:$C$53,0))</f>
        <v>8</v>
      </c>
      <c r="O353" s="78">
        <f>INDEX(卡牌图鉴!$K$2:$K$53,MATCH(monster!C353,卡牌图鉴!$C$2:$C$53,0))</f>
        <v>5</v>
      </c>
    </row>
    <row r="354" spans="1:15" x14ac:dyDescent="0.15">
      <c r="A354" s="31">
        <v>1045</v>
      </c>
      <c r="B354" s="31" t="s">
        <v>1468</v>
      </c>
      <c r="C354" s="31">
        <v>1045</v>
      </c>
      <c r="D354" s="15">
        <f>INDEX(卡牌图鉴!$S$2:$S$53,MATCH(monster!C354,卡牌图鉴!$C$2:$C$53,0))</f>
        <v>3</v>
      </c>
      <c r="E354" s="31">
        <v>0</v>
      </c>
      <c r="F354" s="15">
        <f>INT(INDEX(卡牌图鉴!$AB$2:$AB$53,MATCH(monster!C354,卡牌图鉴!$C$2:$C$57,0)) * INDEX(数值规划表!$B$61:$B$71,monster!E354+1) * 血量调整)</f>
        <v>173</v>
      </c>
      <c r="G354" s="15">
        <f>ROUND(INDEX(卡牌图鉴!$AB$2:$AB$53,MATCH(monster!C354,卡牌图鉴!$C$2:$C$57,0)) * INDEX(数值规划表!$D$61:$D$71,monster!E354+1)*血量调整,2)</f>
        <v>5.2</v>
      </c>
      <c r="H354" s="15">
        <f>ROUND(INDEX(卡牌图鉴!$AA$2:$AA$53,MATCH(monster!C354,卡牌图鉴!$C$2:$C$53,0)) * INDEX(数值规划表!$C$61:$C$71,monster!E354+1),2)</f>
        <v>57.78</v>
      </c>
      <c r="I354" s="15">
        <f>ROUND(INDEX(卡牌图鉴!$AA$2:$AA$53,MATCH(monster!C354,卡牌图鉴!$C$2:$C$53,0)) * INDEX(数值规划表!$E$61:$E$71,monster!E354+1),2)</f>
        <v>1.73</v>
      </c>
      <c r="J354" s="15">
        <f>INDEX(卡牌图鉴!$J$2:$J$53,MATCH(monster!C354,卡牌图鉴!$C$2:$C$53,0))</f>
        <v>6.5</v>
      </c>
      <c r="K354" s="15">
        <f>INDEX(卡牌图鉴!$S$2:$S$53,MATCH(monster!C354,卡牌图鉴!$C$2:$C$53,0))</f>
        <v>3</v>
      </c>
      <c r="L354" s="15">
        <f>INDEX(卡牌图鉴!$H$2:$H$53,MATCH(monster!C354,卡牌图鉴!$C$2:$C$53,0))</f>
        <v>1.4</v>
      </c>
      <c r="M354" s="15">
        <f>INDEX(卡牌图鉴!$L$2:$L$53,MATCH(monster!C354,卡牌图鉴!$C$2:$C$53,0))</f>
        <v>3</v>
      </c>
      <c r="N354" s="15">
        <f>INDEX(卡牌图鉴!$AD$2:$AD$53,MATCH(monster!C354,卡牌图鉴!$C$2:$C$53,0))</f>
        <v>8</v>
      </c>
      <c r="O354" s="78">
        <f>INDEX(卡牌图鉴!$K$2:$K$53,MATCH(monster!C354,卡牌图鉴!$C$2:$C$53,0))</f>
        <v>3</v>
      </c>
    </row>
    <row r="355" spans="1:15" x14ac:dyDescent="0.15">
      <c r="A355" s="31">
        <v>1046</v>
      </c>
      <c r="B355" s="31" t="s">
        <v>1361</v>
      </c>
      <c r="C355" s="31">
        <v>1045</v>
      </c>
      <c r="D355" s="15">
        <f>INDEX(卡牌图鉴!$S$2:$S$53,MATCH(monster!C355,卡牌图鉴!$C$2:$C$53,0))</f>
        <v>3</v>
      </c>
      <c r="E355" s="31">
        <v>1</v>
      </c>
      <c r="F355" s="15">
        <f>INT(INDEX(卡牌图鉴!$AB$2:$AB$53,MATCH(monster!C355,卡牌图鉴!$C$2:$C$57,0)) * INDEX(数值规划表!$B$61:$B$71,monster!E355+1) * 血量调整)</f>
        <v>194</v>
      </c>
      <c r="G355" s="15">
        <f>ROUND(INDEX(卡牌图鉴!$AB$2:$AB$53,MATCH(monster!C355,卡牌图鉴!$C$2:$C$57,0)) * INDEX(数值规划表!$D$61:$D$71,monster!E355+1)*血量调整,2)</f>
        <v>5.82</v>
      </c>
      <c r="H355" s="15">
        <f>ROUND(INDEX(卡牌图鉴!$AA$2:$AA$53,MATCH(monster!C355,卡牌图鉴!$C$2:$C$53,0)) * INDEX(数值规划表!$C$61:$C$71,monster!E355+1),2)</f>
        <v>64.709999999999994</v>
      </c>
      <c r="I355" s="15">
        <f>ROUND(INDEX(卡牌图鉴!$AA$2:$AA$53,MATCH(monster!C355,卡牌图鉴!$C$2:$C$53,0)) * INDEX(数值规划表!$E$61:$E$71,monster!E355+1),2)</f>
        <v>1.94</v>
      </c>
      <c r="J355" s="15">
        <f>INDEX(卡牌图鉴!$J$2:$J$53,MATCH(monster!C355,卡牌图鉴!$C$2:$C$53,0))</f>
        <v>6.5</v>
      </c>
      <c r="K355" s="15">
        <f>INDEX(卡牌图鉴!$S$2:$S$53,MATCH(monster!C355,卡牌图鉴!$C$2:$C$53,0))</f>
        <v>3</v>
      </c>
      <c r="L355" s="15">
        <f>INDEX(卡牌图鉴!$H$2:$H$53,MATCH(monster!C355,卡牌图鉴!$C$2:$C$53,0))</f>
        <v>1.4</v>
      </c>
      <c r="M355" s="15">
        <f>INDEX(卡牌图鉴!$L$2:$L$53,MATCH(monster!C355,卡牌图鉴!$C$2:$C$53,0))</f>
        <v>3</v>
      </c>
      <c r="N355" s="15">
        <f>INDEX(卡牌图鉴!$AD$2:$AD$53,MATCH(monster!C355,卡牌图鉴!$C$2:$C$53,0))</f>
        <v>8</v>
      </c>
      <c r="O355" s="78">
        <f>INDEX(卡牌图鉴!$K$2:$K$53,MATCH(monster!C355,卡牌图鉴!$C$2:$C$53,0))</f>
        <v>3</v>
      </c>
    </row>
    <row r="356" spans="1:15" x14ac:dyDescent="0.15">
      <c r="A356" s="31">
        <v>1047</v>
      </c>
      <c r="B356" s="31" t="s">
        <v>187</v>
      </c>
      <c r="C356" s="31">
        <v>1045</v>
      </c>
      <c r="D356" s="15">
        <f>INDEX(卡牌图鉴!$S$2:$S$53,MATCH(monster!C356,卡牌图鉴!$C$2:$C$53,0))</f>
        <v>3</v>
      </c>
      <c r="E356" s="31">
        <v>2</v>
      </c>
      <c r="F356" s="15">
        <f>INT(INDEX(卡牌图鉴!$AB$2:$AB$53,MATCH(monster!C356,卡牌图鉴!$C$2:$C$57,0)) * INDEX(数值规划表!$B$61:$B$71,monster!E356+1) * 血量调整)</f>
        <v>217</v>
      </c>
      <c r="G356" s="15">
        <f>ROUND(INDEX(卡牌图鉴!$AB$2:$AB$53,MATCH(monster!C356,卡牌图鉴!$C$2:$C$57,0)) * INDEX(数值规划表!$D$61:$D$71,monster!E356+1)*血量调整,2)</f>
        <v>6.52</v>
      </c>
      <c r="H356" s="15">
        <f>ROUND(INDEX(卡牌图鉴!$AA$2:$AA$53,MATCH(monster!C356,卡牌图鉴!$C$2:$C$53,0)) * INDEX(数值规划表!$C$61:$C$71,monster!E356+1),2)</f>
        <v>72.48</v>
      </c>
      <c r="I356" s="15">
        <f>ROUND(INDEX(卡牌图鉴!$AA$2:$AA$53,MATCH(monster!C356,卡牌图鉴!$C$2:$C$53,0)) * INDEX(数值规划表!$E$61:$E$71,monster!E356+1),2)</f>
        <v>2.17</v>
      </c>
      <c r="J356" s="15">
        <f>INDEX(卡牌图鉴!$J$2:$J$53,MATCH(monster!C356,卡牌图鉴!$C$2:$C$53,0))</f>
        <v>6.5</v>
      </c>
      <c r="K356" s="15">
        <f>INDEX(卡牌图鉴!$S$2:$S$53,MATCH(monster!C356,卡牌图鉴!$C$2:$C$53,0))</f>
        <v>3</v>
      </c>
      <c r="L356" s="15">
        <f>INDEX(卡牌图鉴!$H$2:$H$53,MATCH(monster!C356,卡牌图鉴!$C$2:$C$53,0))</f>
        <v>1.4</v>
      </c>
      <c r="M356" s="15">
        <f>INDEX(卡牌图鉴!$L$2:$L$53,MATCH(monster!C356,卡牌图鉴!$C$2:$C$53,0))</f>
        <v>3</v>
      </c>
      <c r="N356" s="15">
        <f>INDEX(卡牌图鉴!$AD$2:$AD$53,MATCH(monster!C356,卡牌图鉴!$C$2:$C$53,0))</f>
        <v>8</v>
      </c>
      <c r="O356" s="78">
        <f>INDEX(卡牌图鉴!$K$2:$K$53,MATCH(monster!C356,卡牌图鉴!$C$2:$C$53,0))</f>
        <v>3</v>
      </c>
    </row>
    <row r="357" spans="1:15" x14ac:dyDescent="0.15">
      <c r="A357" s="31">
        <v>1048</v>
      </c>
      <c r="B357" s="31" t="s">
        <v>188</v>
      </c>
      <c r="C357" s="31">
        <v>1045</v>
      </c>
      <c r="D357" s="15">
        <f>INDEX(卡牌图鉴!$S$2:$S$53,MATCH(monster!C357,卡牌图鉴!$C$2:$C$53,0))</f>
        <v>3</v>
      </c>
      <c r="E357" s="31">
        <v>3</v>
      </c>
      <c r="F357" s="15">
        <f>INT(INDEX(卡牌图鉴!$AB$2:$AB$53,MATCH(monster!C357,卡牌图鉴!$C$2:$C$57,0)) * INDEX(数值规划表!$B$61:$B$71,monster!E357+1) * 血量调整)</f>
        <v>243</v>
      </c>
      <c r="G357" s="15">
        <f>ROUND(INDEX(卡牌图鉴!$AB$2:$AB$53,MATCH(monster!C357,卡牌图鉴!$C$2:$C$57,0)) * INDEX(数值规划表!$D$61:$D$71,monster!E357+1)*血量调整,2)</f>
        <v>7.31</v>
      </c>
      <c r="H357" s="15">
        <f>ROUND(INDEX(卡牌图鉴!$AA$2:$AA$53,MATCH(monster!C357,卡牌图鉴!$C$2:$C$53,0)) * INDEX(数值规划表!$C$61:$C$71,monster!E357+1),2)</f>
        <v>81.180000000000007</v>
      </c>
      <c r="I357" s="15">
        <f>ROUND(INDEX(卡牌图鉴!$AA$2:$AA$53,MATCH(monster!C357,卡牌图鉴!$C$2:$C$53,0)) * INDEX(数值规划表!$E$61:$E$71,monster!E357+1),2)</f>
        <v>2.44</v>
      </c>
      <c r="J357" s="15">
        <f>INDEX(卡牌图鉴!$J$2:$J$53,MATCH(monster!C357,卡牌图鉴!$C$2:$C$53,0))</f>
        <v>6.5</v>
      </c>
      <c r="K357" s="15">
        <f>INDEX(卡牌图鉴!$S$2:$S$53,MATCH(monster!C357,卡牌图鉴!$C$2:$C$53,0))</f>
        <v>3</v>
      </c>
      <c r="L357" s="15">
        <f>INDEX(卡牌图鉴!$H$2:$H$53,MATCH(monster!C357,卡牌图鉴!$C$2:$C$53,0))</f>
        <v>1.4</v>
      </c>
      <c r="M357" s="15">
        <f>INDEX(卡牌图鉴!$L$2:$L$53,MATCH(monster!C357,卡牌图鉴!$C$2:$C$53,0))</f>
        <v>3</v>
      </c>
      <c r="N357" s="15">
        <f>INDEX(卡牌图鉴!$AD$2:$AD$53,MATCH(monster!C357,卡牌图鉴!$C$2:$C$53,0))</f>
        <v>8</v>
      </c>
      <c r="O357" s="78">
        <f>INDEX(卡牌图鉴!$K$2:$K$53,MATCH(monster!C357,卡牌图鉴!$C$2:$C$53,0))</f>
        <v>3</v>
      </c>
    </row>
    <row r="358" spans="1:15" x14ac:dyDescent="0.15">
      <c r="A358" s="31">
        <v>1049</v>
      </c>
      <c r="B358" s="31" t="s">
        <v>189</v>
      </c>
      <c r="C358" s="31">
        <v>1045</v>
      </c>
      <c r="D358" s="15">
        <f>INDEX(卡牌图鉴!$S$2:$S$53,MATCH(monster!C358,卡牌图鉴!$C$2:$C$53,0))</f>
        <v>3</v>
      </c>
      <c r="E358" s="31">
        <v>4</v>
      </c>
      <c r="F358" s="15">
        <f>INT(INDEX(卡牌图鉴!$AB$2:$AB$53,MATCH(monster!C358,卡牌图鉴!$C$2:$C$57,0)) * INDEX(数值规划表!$B$61:$B$71,monster!E358+1) * 血量调整)</f>
        <v>272</v>
      </c>
      <c r="G358" s="15">
        <f>ROUND(INDEX(卡牌图鉴!$AB$2:$AB$53,MATCH(monster!C358,卡牌图鉴!$C$2:$C$57,0)) * INDEX(数值规划表!$D$61:$D$71,monster!E358+1)*血量调整,2)</f>
        <v>8.18</v>
      </c>
      <c r="H358" s="15">
        <f>ROUND(INDEX(卡牌图鉴!$AA$2:$AA$53,MATCH(monster!C358,卡牌图鉴!$C$2:$C$53,0)) * INDEX(数值规划表!$C$61:$C$71,monster!E358+1),2)</f>
        <v>90.92</v>
      </c>
      <c r="I358" s="15">
        <f>ROUND(INDEX(卡牌图鉴!$AA$2:$AA$53,MATCH(monster!C358,卡牌图鉴!$C$2:$C$53,0)) * INDEX(数值规划表!$E$61:$E$71,monster!E358+1),2)</f>
        <v>2.73</v>
      </c>
      <c r="J358" s="15">
        <f>INDEX(卡牌图鉴!$J$2:$J$53,MATCH(monster!C358,卡牌图鉴!$C$2:$C$53,0))</f>
        <v>6.5</v>
      </c>
      <c r="K358" s="15">
        <f>INDEX(卡牌图鉴!$S$2:$S$53,MATCH(monster!C358,卡牌图鉴!$C$2:$C$53,0))</f>
        <v>3</v>
      </c>
      <c r="L358" s="15">
        <f>INDEX(卡牌图鉴!$H$2:$H$53,MATCH(monster!C358,卡牌图鉴!$C$2:$C$53,0))</f>
        <v>1.4</v>
      </c>
      <c r="M358" s="15">
        <f>INDEX(卡牌图鉴!$L$2:$L$53,MATCH(monster!C358,卡牌图鉴!$C$2:$C$53,0))</f>
        <v>3</v>
      </c>
      <c r="N358" s="15">
        <f>INDEX(卡牌图鉴!$AD$2:$AD$53,MATCH(monster!C358,卡牌图鉴!$C$2:$C$53,0))</f>
        <v>8</v>
      </c>
      <c r="O358" s="78">
        <f>INDEX(卡牌图鉴!$K$2:$K$53,MATCH(monster!C358,卡牌图鉴!$C$2:$C$53,0))</f>
        <v>3</v>
      </c>
    </row>
    <row r="359" spans="1:15" x14ac:dyDescent="0.15">
      <c r="A359" s="31">
        <v>1050</v>
      </c>
      <c r="B359" s="31" t="s">
        <v>190</v>
      </c>
      <c r="C359" s="31">
        <v>1045</v>
      </c>
      <c r="D359" s="15">
        <f>INDEX(卡牌图鉴!$S$2:$S$53,MATCH(monster!C359,卡牌图鉴!$C$2:$C$53,0))</f>
        <v>3</v>
      </c>
      <c r="E359" s="31">
        <v>5</v>
      </c>
      <c r="F359" s="15">
        <f>INT(INDEX(卡牌图鉴!$AB$2:$AB$53,MATCH(monster!C359,卡牌图鉴!$C$2:$C$57,0)) * INDEX(数值规划表!$B$61:$B$71,monster!E359+1) * 血量调整)</f>
        <v>305</v>
      </c>
      <c r="G359" s="15">
        <f>ROUND(INDEX(卡牌图鉴!$AB$2:$AB$53,MATCH(monster!C359,卡牌图鉴!$C$2:$C$57,0)) * INDEX(数值规划表!$D$61:$D$71,monster!E359+1)*血量调整,2)</f>
        <v>9.16</v>
      </c>
      <c r="H359" s="15">
        <f>ROUND(INDEX(卡牌图鉴!$AA$2:$AA$53,MATCH(monster!C359,卡牌图鉴!$C$2:$C$53,0)) * INDEX(数值规划表!$C$61:$C$71,monster!E359+1),2)</f>
        <v>101.83</v>
      </c>
      <c r="I359" s="15">
        <f>ROUND(INDEX(卡牌图鉴!$AA$2:$AA$53,MATCH(monster!C359,卡牌图鉴!$C$2:$C$53,0)) * INDEX(数值规划表!$E$61:$E$71,monster!E359+1),2)</f>
        <v>3.05</v>
      </c>
      <c r="J359" s="15">
        <f>INDEX(卡牌图鉴!$J$2:$J$53,MATCH(monster!C359,卡牌图鉴!$C$2:$C$53,0))</f>
        <v>6.5</v>
      </c>
      <c r="K359" s="15">
        <f>INDEX(卡牌图鉴!$S$2:$S$53,MATCH(monster!C359,卡牌图鉴!$C$2:$C$53,0))</f>
        <v>3</v>
      </c>
      <c r="L359" s="15">
        <f>INDEX(卡牌图鉴!$H$2:$H$53,MATCH(monster!C359,卡牌图鉴!$C$2:$C$53,0))</f>
        <v>1.4</v>
      </c>
      <c r="M359" s="15">
        <f>INDEX(卡牌图鉴!$L$2:$L$53,MATCH(monster!C359,卡牌图鉴!$C$2:$C$53,0))</f>
        <v>3</v>
      </c>
      <c r="N359" s="15">
        <f>INDEX(卡牌图鉴!$AD$2:$AD$53,MATCH(monster!C359,卡牌图鉴!$C$2:$C$53,0))</f>
        <v>8</v>
      </c>
      <c r="O359" s="78">
        <f>INDEX(卡牌图鉴!$K$2:$K$53,MATCH(monster!C359,卡牌图鉴!$C$2:$C$53,0))</f>
        <v>3</v>
      </c>
    </row>
    <row r="360" spans="1:15" x14ac:dyDescent="0.15">
      <c r="A360" s="31">
        <v>1051</v>
      </c>
      <c r="B360" s="31" t="s">
        <v>191</v>
      </c>
      <c r="C360" s="31">
        <v>1045</v>
      </c>
      <c r="D360" s="15">
        <f>INDEX(卡牌图鉴!$S$2:$S$53,MATCH(monster!C360,卡牌图鉴!$C$2:$C$53,0))</f>
        <v>3</v>
      </c>
      <c r="E360" s="31">
        <v>6</v>
      </c>
      <c r="F360" s="15">
        <f>INT(INDEX(卡牌图鉴!$AB$2:$AB$53,MATCH(monster!C360,卡牌图鉴!$C$2:$C$57,0)) * INDEX(数值规划表!$B$61:$B$71,monster!E360+1) * 血量调整)</f>
        <v>342</v>
      </c>
      <c r="G360" s="15">
        <f>ROUND(INDEX(卡牌图鉴!$AB$2:$AB$53,MATCH(monster!C360,卡牌图鉴!$C$2:$C$57,0)) * INDEX(数值规划表!$D$61:$D$71,monster!E360+1)*血量调整,2)</f>
        <v>10.26</v>
      </c>
      <c r="H360" s="15">
        <f>ROUND(INDEX(卡牌图鉴!$AA$2:$AA$53,MATCH(monster!C360,卡牌图鉴!$C$2:$C$53,0)) * INDEX(数值规划表!$C$61:$C$71,monster!E360+1),2)</f>
        <v>114.05</v>
      </c>
      <c r="I360" s="15">
        <f>ROUND(INDEX(卡牌图鉴!$AA$2:$AA$53,MATCH(monster!C360,卡牌图鉴!$C$2:$C$53,0)) * INDEX(数值规划表!$E$61:$E$71,monster!E360+1),2)</f>
        <v>3.42</v>
      </c>
      <c r="J360" s="15">
        <f>INDEX(卡牌图鉴!$J$2:$J$53,MATCH(monster!C360,卡牌图鉴!$C$2:$C$53,0))</f>
        <v>6.5</v>
      </c>
      <c r="K360" s="15">
        <f>INDEX(卡牌图鉴!$S$2:$S$53,MATCH(monster!C360,卡牌图鉴!$C$2:$C$53,0))</f>
        <v>3</v>
      </c>
      <c r="L360" s="15">
        <f>INDEX(卡牌图鉴!$H$2:$H$53,MATCH(monster!C360,卡牌图鉴!$C$2:$C$53,0))</f>
        <v>1.4</v>
      </c>
      <c r="M360" s="15">
        <f>INDEX(卡牌图鉴!$L$2:$L$53,MATCH(monster!C360,卡牌图鉴!$C$2:$C$53,0))</f>
        <v>3</v>
      </c>
      <c r="N360" s="15">
        <f>INDEX(卡牌图鉴!$AD$2:$AD$53,MATCH(monster!C360,卡牌图鉴!$C$2:$C$53,0))</f>
        <v>8</v>
      </c>
      <c r="O360" s="78">
        <f>INDEX(卡牌图鉴!$K$2:$K$53,MATCH(monster!C360,卡牌图鉴!$C$2:$C$53,0))</f>
        <v>3</v>
      </c>
    </row>
    <row r="361" spans="1:15" x14ac:dyDescent="0.15">
      <c r="A361" s="31">
        <v>1052</v>
      </c>
      <c r="B361" s="31" t="s">
        <v>192</v>
      </c>
      <c r="C361" s="31">
        <v>1045</v>
      </c>
      <c r="D361" s="15">
        <f>INDEX(卡牌图鉴!$S$2:$S$53,MATCH(monster!C361,卡牌图鉴!$C$2:$C$53,0))</f>
        <v>3</v>
      </c>
      <c r="E361" s="31">
        <v>7</v>
      </c>
      <c r="F361" s="15">
        <f>INT(INDEX(卡牌图鉴!$AB$2:$AB$53,MATCH(monster!C361,卡牌图鉴!$C$2:$C$57,0)) * INDEX(数值规划表!$B$61:$B$71,monster!E361+1) * 血量调整)</f>
        <v>383</v>
      </c>
      <c r="G361" s="15">
        <f>ROUND(INDEX(卡牌图鉴!$AB$2:$AB$53,MATCH(monster!C361,卡牌图鉴!$C$2:$C$57,0)) * INDEX(数值规划表!$D$61:$D$71,monster!E361+1)*血量调整,2)</f>
        <v>11.5</v>
      </c>
      <c r="H361" s="15">
        <f>ROUND(INDEX(卡牌图鉴!$AA$2:$AA$53,MATCH(monster!C361,卡牌图鉴!$C$2:$C$53,0)) * INDEX(数值规划表!$C$61:$C$71,monster!E361+1),2)</f>
        <v>127.73</v>
      </c>
      <c r="I361" s="15">
        <f>ROUND(INDEX(卡牌图鉴!$AA$2:$AA$53,MATCH(monster!C361,卡牌图鉴!$C$2:$C$53,0)) * INDEX(数值规划表!$E$61:$E$71,monster!E361+1),2)</f>
        <v>3.83</v>
      </c>
      <c r="J361" s="15">
        <f>INDEX(卡牌图鉴!$J$2:$J$53,MATCH(monster!C361,卡牌图鉴!$C$2:$C$53,0))</f>
        <v>6.5</v>
      </c>
      <c r="K361" s="15">
        <f>INDEX(卡牌图鉴!$S$2:$S$53,MATCH(monster!C361,卡牌图鉴!$C$2:$C$53,0))</f>
        <v>3</v>
      </c>
      <c r="L361" s="15">
        <f>INDEX(卡牌图鉴!$H$2:$H$53,MATCH(monster!C361,卡牌图鉴!$C$2:$C$53,0))</f>
        <v>1.4</v>
      </c>
      <c r="M361" s="15">
        <f>INDEX(卡牌图鉴!$L$2:$L$53,MATCH(monster!C361,卡牌图鉴!$C$2:$C$53,0))</f>
        <v>3</v>
      </c>
      <c r="N361" s="15">
        <f>INDEX(卡牌图鉴!$AD$2:$AD$53,MATCH(monster!C361,卡牌图鉴!$C$2:$C$53,0))</f>
        <v>8</v>
      </c>
      <c r="O361" s="78">
        <f>INDEX(卡牌图鉴!$K$2:$K$53,MATCH(monster!C361,卡牌图鉴!$C$2:$C$53,0))</f>
        <v>3</v>
      </c>
    </row>
    <row r="362" spans="1:15" x14ac:dyDescent="0.15">
      <c r="A362" s="31">
        <v>1053</v>
      </c>
      <c r="B362" s="31" t="s">
        <v>193</v>
      </c>
      <c r="C362" s="31">
        <v>1045</v>
      </c>
      <c r="D362" s="15">
        <f>INDEX(卡牌图鉴!$S$2:$S$53,MATCH(monster!C362,卡牌图鉴!$C$2:$C$53,0))</f>
        <v>3</v>
      </c>
      <c r="E362" s="31">
        <v>8</v>
      </c>
      <c r="F362" s="15">
        <f>INT(INDEX(卡牌图鉴!$AB$2:$AB$53,MATCH(monster!C362,卡牌图鉴!$C$2:$C$57,0)) * INDEX(数值规划表!$B$61:$B$71,monster!E362+1) * 血量调整)</f>
        <v>429</v>
      </c>
      <c r="G362" s="15">
        <f>ROUND(INDEX(卡牌图鉴!$AB$2:$AB$53,MATCH(monster!C362,卡牌图鉴!$C$2:$C$57,0)) * INDEX(数值规划表!$D$61:$D$71,monster!E362+1)*血量调整,2)</f>
        <v>12.87</v>
      </c>
      <c r="H362" s="15">
        <f>ROUND(INDEX(卡牌图鉴!$AA$2:$AA$53,MATCH(monster!C362,卡牌图鉴!$C$2:$C$53,0)) * INDEX(数值规划表!$C$61:$C$71,monster!E362+1),2)</f>
        <v>143.06</v>
      </c>
      <c r="I362" s="15">
        <f>ROUND(INDEX(卡牌图鉴!$AA$2:$AA$53,MATCH(monster!C362,卡牌图鉴!$C$2:$C$53,0)) * INDEX(数值规划表!$E$61:$E$71,monster!E362+1),2)</f>
        <v>4.29</v>
      </c>
      <c r="J362" s="15">
        <f>INDEX(卡牌图鉴!$J$2:$J$53,MATCH(monster!C362,卡牌图鉴!$C$2:$C$53,0))</f>
        <v>6.5</v>
      </c>
      <c r="K362" s="15">
        <f>INDEX(卡牌图鉴!$S$2:$S$53,MATCH(monster!C362,卡牌图鉴!$C$2:$C$53,0))</f>
        <v>3</v>
      </c>
      <c r="L362" s="15">
        <f>INDEX(卡牌图鉴!$H$2:$H$53,MATCH(monster!C362,卡牌图鉴!$C$2:$C$53,0))</f>
        <v>1.4</v>
      </c>
      <c r="M362" s="15">
        <f>INDEX(卡牌图鉴!$L$2:$L$53,MATCH(monster!C362,卡牌图鉴!$C$2:$C$53,0))</f>
        <v>3</v>
      </c>
      <c r="N362" s="15">
        <f>INDEX(卡牌图鉴!$AD$2:$AD$53,MATCH(monster!C362,卡牌图鉴!$C$2:$C$53,0))</f>
        <v>8</v>
      </c>
      <c r="O362" s="78">
        <f>INDEX(卡牌图鉴!$K$2:$K$53,MATCH(monster!C362,卡牌图鉴!$C$2:$C$53,0))</f>
        <v>3</v>
      </c>
    </row>
    <row r="363" spans="1:15" x14ac:dyDescent="0.15">
      <c r="A363" s="31">
        <v>1054</v>
      </c>
      <c r="B363" s="31" t="s">
        <v>194</v>
      </c>
      <c r="C363" s="31">
        <v>1045</v>
      </c>
      <c r="D363" s="15">
        <f>INDEX(卡牌图鉴!$S$2:$S$53,MATCH(monster!C363,卡牌图鉴!$C$2:$C$53,0))</f>
        <v>3</v>
      </c>
      <c r="E363" s="31">
        <v>9</v>
      </c>
      <c r="F363" s="15">
        <f>INT(INDEX(卡牌图鉴!$AB$2:$AB$53,MATCH(monster!C363,卡牌图鉴!$C$2:$C$57,0)) * INDEX(数值规划表!$B$61:$B$71,monster!E363+1) * 血量调整)</f>
        <v>480</v>
      </c>
      <c r="G363" s="15">
        <f>ROUND(INDEX(卡牌图鉴!$AB$2:$AB$53,MATCH(monster!C363,卡牌图鉴!$C$2:$C$57,0)) * INDEX(数值规划表!$D$61:$D$71,monster!E363+1)*血量调整,2)</f>
        <v>14.42</v>
      </c>
      <c r="H363" s="15">
        <f>ROUND(INDEX(卡牌图鉴!$AA$2:$AA$53,MATCH(monster!C363,卡牌图鉴!$C$2:$C$53,0)) * INDEX(数值规划表!$C$61:$C$71,monster!E363+1),2)</f>
        <v>160.22999999999999</v>
      </c>
      <c r="I363" s="15">
        <f>ROUND(INDEX(卡牌图鉴!$AA$2:$AA$53,MATCH(monster!C363,卡牌图鉴!$C$2:$C$53,0)) * INDEX(数值规划表!$E$61:$E$71,monster!E363+1),2)</f>
        <v>4.8099999999999996</v>
      </c>
      <c r="J363" s="15">
        <f>INDEX(卡牌图鉴!$J$2:$J$53,MATCH(monster!C363,卡牌图鉴!$C$2:$C$53,0))</f>
        <v>6.5</v>
      </c>
      <c r="K363" s="15">
        <f>INDEX(卡牌图鉴!$S$2:$S$53,MATCH(monster!C363,卡牌图鉴!$C$2:$C$53,0))</f>
        <v>3</v>
      </c>
      <c r="L363" s="15">
        <f>INDEX(卡牌图鉴!$H$2:$H$53,MATCH(monster!C363,卡牌图鉴!$C$2:$C$53,0))</f>
        <v>1.4</v>
      </c>
      <c r="M363" s="15">
        <f>INDEX(卡牌图鉴!$L$2:$L$53,MATCH(monster!C363,卡牌图鉴!$C$2:$C$53,0))</f>
        <v>3</v>
      </c>
      <c r="N363" s="15">
        <f>INDEX(卡牌图鉴!$AD$2:$AD$53,MATCH(monster!C363,卡牌图鉴!$C$2:$C$53,0))</f>
        <v>8</v>
      </c>
      <c r="O363" s="78">
        <f>INDEX(卡牌图鉴!$K$2:$K$53,MATCH(monster!C363,卡牌图鉴!$C$2:$C$53,0))</f>
        <v>3</v>
      </c>
    </row>
    <row r="364" spans="1:15" x14ac:dyDescent="0.15">
      <c r="A364" s="31">
        <v>1055</v>
      </c>
      <c r="B364" s="31" t="s">
        <v>195</v>
      </c>
      <c r="C364" s="31">
        <v>1045</v>
      </c>
      <c r="D364" s="15">
        <f>INDEX(卡牌图鉴!$S$2:$S$53,MATCH(monster!C364,卡牌图鉴!$C$2:$C$53,0))</f>
        <v>3</v>
      </c>
      <c r="E364" s="31">
        <v>10</v>
      </c>
      <c r="F364" s="15">
        <f>INT(INDEX(卡牌图鉴!$AB$2:$AB$53,MATCH(monster!C364,卡牌图鉴!$C$2:$C$57,0)) * INDEX(数值规划表!$B$61:$B$71,monster!E364+1) * 血量调整)</f>
        <v>538</v>
      </c>
      <c r="G364" s="15">
        <f>ROUND(INDEX(卡牌图鉴!$AB$2:$AB$53,MATCH(monster!C364,卡牌图鉴!$C$2:$C$57,0)) * INDEX(数值规划表!$D$61:$D$71,monster!E364+1)*血量调整,2)</f>
        <v>16.149999999999999</v>
      </c>
      <c r="H364" s="15">
        <f>ROUND(INDEX(卡牌图鉴!$AA$2:$AA$53,MATCH(monster!C364,卡牌图鉴!$C$2:$C$53,0)) * INDEX(数值规划表!$C$61:$C$71,monster!E364+1),2)</f>
        <v>179.46</v>
      </c>
      <c r="I364" s="15">
        <f>ROUND(INDEX(卡牌图鉴!$AA$2:$AA$53,MATCH(monster!C364,卡牌图鉴!$C$2:$C$53,0)) * INDEX(数值规划表!$E$61:$E$71,monster!E364+1),2)</f>
        <v>5.38</v>
      </c>
      <c r="J364" s="15">
        <f>INDEX(卡牌图鉴!$J$2:$J$53,MATCH(monster!C364,卡牌图鉴!$C$2:$C$53,0))</f>
        <v>6.5</v>
      </c>
      <c r="K364" s="15">
        <f>INDEX(卡牌图鉴!$S$2:$S$53,MATCH(monster!C364,卡牌图鉴!$C$2:$C$53,0))</f>
        <v>3</v>
      </c>
      <c r="L364" s="15">
        <f>INDEX(卡牌图鉴!$H$2:$H$53,MATCH(monster!C364,卡牌图鉴!$C$2:$C$53,0))</f>
        <v>1.4</v>
      </c>
      <c r="M364" s="15">
        <f>INDEX(卡牌图鉴!$L$2:$L$53,MATCH(monster!C364,卡牌图鉴!$C$2:$C$53,0))</f>
        <v>3</v>
      </c>
      <c r="N364" s="15">
        <f>INDEX(卡牌图鉴!$AD$2:$AD$53,MATCH(monster!C364,卡牌图鉴!$C$2:$C$53,0))</f>
        <v>8</v>
      </c>
      <c r="O364" s="78">
        <f>INDEX(卡牌图鉴!$K$2:$K$53,MATCH(monster!C364,卡牌图鉴!$C$2:$C$53,0))</f>
        <v>3</v>
      </c>
    </row>
    <row r="365" spans="1:15" x14ac:dyDescent="0.15">
      <c r="A365" s="31">
        <v>1417</v>
      </c>
      <c r="B365" s="31" t="s">
        <v>1469</v>
      </c>
      <c r="C365" s="31">
        <v>1417</v>
      </c>
      <c r="D365" s="15">
        <f>INDEX(卡牌图鉴!$S$2:$S$53,MATCH(monster!C365,卡牌图鉴!$C$2:$C$53,0))</f>
        <v>3</v>
      </c>
      <c r="E365" s="31">
        <v>0</v>
      </c>
      <c r="F365" s="15">
        <f>INT(INDEX(卡牌图鉴!$AB$2:$AB$53,MATCH(monster!C365,卡牌图鉴!$C$2:$C$57,0)) * INDEX(数值规划表!$B$61:$B$71,monster!E365+1) * 血量调整)</f>
        <v>177</v>
      </c>
      <c r="G365" s="15">
        <f>ROUND(INDEX(卡牌图鉴!$AB$2:$AB$53,MATCH(monster!C365,卡牌图鉴!$C$2:$C$57,0)) * INDEX(数值规划表!$D$61:$D$71,monster!E365+1)*血量调整,2)</f>
        <v>5.32</v>
      </c>
      <c r="H365" s="15">
        <f>ROUND(INDEX(卡牌图鉴!$AA$2:$AA$53,MATCH(monster!C365,卡牌图鉴!$C$2:$C$53,0)) * INDEX(数值规划表!$C$61:$C$71,monster!E365+1),2)</f>
        <v>66.010000000000005</v>
      </c>
      <c r="I365" s="15">
        <f>ROUND(INDEX(卡牌图鉴!$AA$2:$AA$53,MATCH(monster!C365,卡牌图鉴!$C$2:$C$53,0)) * INDEX(数值规划表!$E$61:$E$71,monster!E365+1),2)</f>
        <v>1.98</v>
      </c>
      <c r="J365" s="15">
        <f>INDEX(卡牌图鉴!$J$2:$J$53,MATCH(monster!C365,卡牌图鉴!$C$2:$C$53,0))</f>
        <v>5</v>
      </c>
      <c r="K365" s="15">
        <f>INDEX(卡牌图鉴!$S$2:$S$53,MATCH(monster!C365,卡牌图鉴!$C$2:$C$53,0))</f>
        <v>3</v>
      </c>
      <c r="L365" s="15">
        <f>INDEX(卡牌图鉴!$H$2:$H$53,MATCH(monster!C365,卡牌图鉴!$C$2:$C$53,0))</f>
        <v>1.1000000000000001</v>
      </c>
      <c r="M365" s="15">
        <f>INDEX(卡牌图鉴!$L$2:$L$53,MATCH(monster!C365,卡牌图鉴!$C$2:$C$53,0))</f>
        <v>3</v>
      </c>
      <c r="N365" s="15">
        <f>INDEX(卡牌图鉴!$AD$2:$AD$53,MATCH(monster!C365,卡牌图鉴!$C$2:$C$53,0))</f>
        <v>6</v>
      </c>
      <c r="O365" s="78">
        <f>INDEX(卡牌图鉴!$K$2:$K$53,MATCH(monster!C365,卡牌图鉴!$C$2:$C$53,0))</f>
        <v>3</v>
      </c>
    </row>
    <row r="366" spans="1:15" x14ac:dyDescent="0.15">
      <c r="A366" s="31">
        <v>1418</v>
      </c>
      <c r="B366" s="31" t="s">
        <v>475</v>
      </c>
      <c r="C366" s="31">
        <v>1417</v>
      </c>
      <c r="D366" s="15">
        <f>INDEX(卡牌图鉴!$S$2:$S$53,MATCH(monster!C366,卡牌图鉴!$C$2:$C$53,0))</f>
        <v>3</v>
      </c>
      <c r="E366" s="31">
        <v>1</v>
      </c>
      <c r="F366" s="15">
        <f>INT(INDEX(卡牌图鉴!$AB$2:$AB$53,MATCH(monster!C366,卡牌图鉴!$C$2:$C$57,0)) * INDEX(数值规划表!$B$61:$B$71,monster!E366+1) * 血量调整)</f>
        <v>198</v>
      </c>
      <c r="G366" s="15">
        <f>ROUND(INDEX(卡牌图鉴!$AB$2:$AB$53,MATCH(monster!C366,卡牌图鉴!$C$2:$C$57,0)) * INDEX(数值规划表!$D$61:$D$71,monster!E366+1)*血量调整,2)</f>
        <v>5.96</v>
      </c>
      <c r="H366" s="15">
        <f>ROUND(INDEX(卡牌图鉴!$AA$2:$AA$53,MATCH(monster!C366,卡牌图鉴!$C$2:$C$53,0)) * INDEX(数值规划表!$C$61:$C$71,monster!E366+1),2)</f>
        <v>73.930000000000007</v>
      </c>
      <c r="I366" s="15">
        <f>ROUND(INDEX(卡牌图鉴!$AA$2:$AA$53,MATCH(monster!C366,卡牌图鉴!$C$2:$C$53,0)) * INDEX(数值规划表!$E$61:$E$71,monster!E366+1),2)</f>
        <v>2.2200000000000002</v>
      </c>
      <c r="J366" s="15">
        <f>INDEX(卡牌图鉴!$J$2:$J$53,MATCH(monster!C366,卡牌图鉴!$C$2:$C$53,0))</f>
        <v>5</v>
      </c>
      <c r="K366" s="15">
        <f>INDEX(卡牌图鉴!$S$2:$S$53,MATCH(monster!C366,卡牌图鉴!$C$2:$C$53,0))</f>
        <v>3</v>
      </c>
      <c r="L366" s="15">
        <f>INDEX(卡牌图鉴!$H$2:$H$53,MATCH(monster!C366,卡牌图鉴!$C$2:$C$53,0))</f>
        <v>1.1000000000000001</v>
      </c>
      <c r="M366" s="15">
        <f>INDEX(卡牌图鉴!$L$2:$L$53,MATCH(monster!C366,卡牌图鉴!$C$2:$C$53,0))</f>
        <v>3</v>
      </c>
      <c r="N366" s="15">
        <f>INDEX(卡牌图鉴!$AD$2:$AD$53,MATCH(monster!C366,卡牌图鉴!$C$2:$C$53,0))</f>
        <v>6</v>
      </c>
      <c r="O366" s="78">
        <f>INDEX(卡牌图鉴!$K$2:$K$53,MATCH(monster!C366,卡牌图鉴!$C$2:$C$53,0))</f>
        <v>3</v>
      </c>
    </row>
    <row r="367" spans="1:15" x14ac:dyDescent="0.15">
      <c r="A367" s="31">
        <v>1419</v>
      </c>
      <c r="B367" s="31" t="s">
        <v>476</v>
      </c>
      <c r="C367" s="31">
        <v>1417</v>
      </c>
      <c r="D367" s="15">
        <f>INDEX(卡牌图鉴!$S$2:$S$53,MATCH(monster!C367,卡牌图鉴!$C$2:$C$53,0))</f>
        <v>3</v>
      </c>
      <c r="E367" s="31">
        <v>2</v>
      </c>
      <c r="F367" s="15">
        <f>INT(INDEX(卡牌图鉴!$AB$2:$AB$53,MATCH(monster!C367,卡牌图鉴!$C$2:$C$57,0)) * INDEX(数值规划表!$B$61:$B$71,monster!E367+1) * 血量调整)</f>
        <v>222</v>
      </c>
      <c r="G367" s="15">
        <f>ROUND(INDEX(卡牌图鉴!$AB$2:$AB$53,MATCH(monster!C367,卡牌图鉴!$C$2:$C$57,0)) * INDEX(数值规划表!$D$61:$D$71,monster!E367+1)*血量调整,2)</f>
        <v>6.67</v>
      </c>
      <c r="H367" s="15">
        <f>ROUND(INDEX(卡牌图鉴!$AA$2:$AA$53,MATCH(monster!C367,卡牌图鉴!$C$2:$C$53,0)) * INDEX(数值规划表!$C$61:$C$71,monster!E367+1),2)</f>
        <v>82.8</v>
      </c>
      <c r="I367" s="15">
        <f>ROUND(INDEX(卡牌图鉴!$AA$2:$AA$53,MATCH(monster!C367,卡牌图鉴!$C$2:$C$53,0)) * INDEX(数值规划表!$E$61:$E$71,monster!E367+1),2)</f>
        <v>2.48</v>
      </c>
      <c r="J367" s="15">
        <f>INDEX(卡牌图鉴!$J$2:$J$53,MATCH(monster!C367,卡牌图鉴!$C$2:$C$53,0))</f>
        <v>5</v>
      </c>
      <c r="K367" s="15">
        <f>INDEX(卡牌图鉴!$S$2:$S$53,MATCH(monster!C367,卡牌图鉴!$C$2:$C$53,0))</f>
        <v>3</v>
      </c>
      <c r="L367" s="15">
        <f>INDEX(卡牌图鉴!$H$2:$H$53,MATCH(monster!C367,卡牌图鉴!$C$2:$C$53,0))</f>
        <v>1.1000000000000001</v>
      </c>
      <c r="M367" s="15">
        <f>INDEX(卡牌图鉴!$L$2:$L$53,MATCH(monster!C367,卡牌图鉴!$C$2:$C$53,0))</f>
        <v>3</v>
      </c>
      <c r="N367" s="15">
        <f>INDEX(卡牌图鉴!$AD$2:$AD$53,MATCH(monster!C367,卡牌图鉴!$C$2:$C$53,0))</f>
        <v>6</v>
      </c>
      <c r="O367" s="78">
        <f>INDEX(卡牌图鉴!$K$2:$K$53,MATCH(monster!C367,卡牌图鉴!$C$2:$C$53,0))</f>
        <v>3</v>
      </c>
    </row>
    <row r="368" spans="1:15" x14ac:dyDescent="0.15">
      <c r="A368" s="31">
        <v>1420</v>
      </c>
      <c r="B368" s="31" t="s">
        <v>477</v>
      </c>
      <c r="C368" s="31">
        <v>1417</v>
      </c>
      <c r="D368" s="15">
        <f>INDEX(卡牌图鉴!$S$2:$S$53,MATCH(monster!C368,卡牌图鉴!$C$2:$C$53,0))</f>
        <v>3</v>
      </c>
      <c r="E368" s="31">
        <v>3</v>
      </c>
      <c r="F368" s="15">
        <f>INT(INDEX(卡牌图鉴!$AB$2:$AB$53,MATCH(monster!C368,卡牌图鉴!$C$2:$C$57,0)) * INDEX(数值规划表!$B$61:$B$71,monster!E368+1) * 血量调整)</f>
        <v>249</v>
      </c>
      <c r="G368" s="15">
        <f>ROUND(INDEX(卡牌图鉴!$AB$2:$AB$53,MATCH(monster!C368,卡牌图鉴!$C$2:$C$57,0)) * INDEX(数值规划表!$D$61:$D$71,monster!E368+1)*血量调整,2)</f>
        <v>7.47</v>
      </c>
      <c r="H368" s="15">
        <f>ROUND(INDEX(卡牌图鉴!$AA$2:$AA$53,MATCH(monster!C368,卡牌图鉴!$C$2:$C$53,0)) * INDEX(数值规划表!$C$61:$C$71,monster!E368+1),2)</f>
        <v>92.74</v>
      </c>
      <c r="I368" s="15">
        <f>ROUND(INDEX(卡牌图鉴!$AA$2:$AA$53,MATCH(monster!C368,卡牌图鉴!$C$2:$C$53,0)) * INDEX(数值规划表!$E$61:$E$71,monster!E368+1),2)</f>
        <v>2.78</v>
      </c>
      <c r="J368" s="15">
        <f>INDEX(卡牌图鉴!$J$2:$J$53,MATCH(monster!C368,卡牌图鉴!$C$2:$C$53,0))</f>
        <v>5</v>
      </c>
      <c r="K368" s="15">
        <f>INDEX(卡牌图鉴!$S$2:$S$53,MATCH(monster!C368,卡牌图鉴!$C$2:$C$53,0))</f>
        <v>3</v>
      </c>
      <c r="L368" s="15">
        <f>INDEX(卡牌图鉴!$H$2:$H$53,MATCH(monster!C368,卡牌图鉴!$C$2:$C$53,0))</f>
        <v>1.1000000000000001</v>
      </c>
      <c r="M368" s="15">
        <f>INDEX(卡牌图鉴!$L$2:$L$53,MATCH(monster!C368,卡牌图鉴!$C$2:$C$53,0))</f>
        <v>3</v>
      </c>
      <c r="N368" s="15">
        <f>INDEX(卡牌图鉴!$AD$2:$AD$53,MATCH(monster!C368,卡牌图鉴!$C$2:$C$53,0))</f>
        <v>6</v>
      </c>
      <c r="O368" s="78">
        <f>INDEX(卡牌图鉴!$K$2:$K$53,MATCH(monster!C368,卡牌图鉴!$C$2:$C$53,0))</f>
        <v>3</v>
      </c>
    </row>
    <row r="369" spans="1:15" x14ac:dyDescent="0.15">
      <c r="A369" s="31">
        <v>1421</v>
      </c>
      <c r="B369" s="31" t="s">
        <v>478</v>
      </c>
      <c r="C369" s="31">
        <v>1417</v>
      </c>
      <c r="D369" s="15">
        <f>INDEX(卡牌图鉴!$S$2:$S$53,MATCH(monster!C369,卡牌图鉴!$C$2:$C$53,0))</f>
        <v>3</v>
      </c>
      <c r="E369" s="31">
        <v>4</v>
      </c>
      <c r="F369" s="15">
        <f>INT(INDEX(卡牌图鉴!$AB$2:$AB$53,MATCH(monster!C369,卡牌图鉴!$C$2:$C$57,0)) * INDEX(数值规划表!$B$61:$B$71,monster!E369+1) * 血量调整)</f>
        <v>279</v>
      </c>
      <c r="G369" s="15">
        <f>ROUND(INDEX(卡牌图鉴!$AB$2:$AB$53,MATCH(monster!C369,卡牌图鉴!$C$2:$C$57,0)) * INDEX(数值规划表!$D$61:$D$71,monster!E369+1)*血量调整,2)</f>
        <v>8.3699999999999992</v>
      </c>
      <c r="H369" s="15">
        <f>ROUND(INDEX(卡牌图鉴!$AA$2:$AA$53,MATCH(monster!C369,卡牌图鉴!$C$2:$C$53,0)) * INDEX(数值规划表!$C$61:$C$71,monster!E369+1),2)</f>
        <v>103.87</v>
      </c>
      <c r="I369" s="15">
        <f>ROUND(INDEX(卡牌图鉴!$AA$2:$AA$53,MATCH(monster!C369,卡牌图鉴!$C$2:$C$53,0)) * INDEX(数值规划表!$E$61:$E$71,monster!E369+1),2)</f>
        <v>3.12</v>
      </c>
      <c r="J369" s="15">
        <f>INDEX(卡牌图鉴!$J$2:$J$53,MATCH(monster!C369,卡牌图鉴!$C$2:$C$53,0))</f>
        <v>5</v>
      </c>
      <c r="K369" s="15">
        <f>INDEX(卡牌图鉴!$S$2:$S$53,MATCH(monster!C369,卡牌图鉴!$C$2:$C$53,0))</f>
        <v>3</v>
      </c>
      <c r="L369" s="15">
        <f>INDEX(卡牌图鉴!$H$2:$H$53,MATCH(monster!C369,卡牌图鉴!$C$2:$C$53,0))</f>
        <v>1.1000000000000001</v>
      </c>
      <c r="M369" s="15">
        <f>INDEX(卡牌图鉴!$L$2:$L$53,MATCH(monster!C369,卡牌图鉴!$C$2:$C$53,0))</f>
        <v>3</v>
      </c>
      <c r="N369" s="15">
        <f>INDEX(卡牌图鉴!$AD$2:$AD$53,MATCH(monster!C369,卡牌图鉴!$C$2:$C$53,0))</f>
        <v>6</v>
      </c>
      <c r="O369" s="78">
        <f>INDEX(卡牌图鉴!$K$2:$K$53,MATCH(monster!C369,卡牌图鉴!$C$2:$C$53,0))</f>
        <v>3</v>
      </c>
    </row>
    <row r="370" spans="1:15" x14ac:dyDescent="0.15">
      <c r="A370" s="31">
        <v>1422</v>
      </c>
      <c r="B370" s="31" t="s">
        <v>479</v>
      </c>
      <c r="C370" s="31">
        <v>1417</v>
      </c>
      <c r="D370" s="15">
        <f>INDEX(卡牌图鉴!$S$2:$S$53,MATCH(monster!C370,卡牌图鉴!$C$2:$C$53,0))</f>
        <v>3</v>
      </c>
      <c r="E370" s="31">
        <v>5</v>
      </c>
      <c r="F370" s="15">
        <f>INT(INDEX(卡牌图鉴!$AB$2:$AB$53,MATCH(monster!C370,卡牌图鉴!$C$2:$C$57,0)) * INDEX(数值规划表!$B$61:$B$71,monster!E370+1) * 血量调整)</f>
        <v>312</v>
      </c>
      <c r="G370" s="15">
        <f>ROUND(INDEX(卡牌图鉴!$AB$2:$AB$53,MATCH(monster!C370,卡牌图鉴!$C$2:$C$57,0)) * INDEX(数值规划表!$D$61:$D$71,monster!E370+1)*血量调整,2)</f>
        <v>9.3699999999999992</v>
      </c>
      <c r="H370" s="15">
        <f>ROUND(INDEX(卡牌图鉴!$AA$2:$AA$53,MATCH(monster!C370,卡牌图鉴!$C$2:$C$53,0)) * INDEX(数值规划表!$C$61:$C$71,monster!E370+1),2)</f>
        <v>116.33</v>
      </c>
      <c r="I370" s="15">
        <f>ROUND(INDEX(卡牌图鉴!$AA$2:$AA$53,MATCH(monster!C370,卡牌图鉴!$C$2:$C$53,0)) * INDEX(数值规划表!$E$61:$E$71,monster!E370+1),2)</f>
        <v>3.49</v>
      </c>
      <c r="J370" s="15">
        <f>INDEX(卡牌图鉴!$J$2:$J$53,MATCH(monster!C370,卡牌图鉴!$C$2:$C$53,0))</f>
        <v>5</v>
      </c>
      <c r="K370" s="15">
        <f>INDEX(卡牌图鉴!$S$2:$S$53,MATCH(monster!C370,卡牌图鉴!$C$2:$C$53,0))</f>
        <v>3</v>
      </c>
      <c r="L370" s="15">
        <f>INDEX(卡牌图鉴!$H$2:$H$53,MATCH(monster!C370,卡牌图鉴!$C$2:$C$53,0))</f>
        <v>1.1000000000000001</v>
      </c>
      <c r="M370" s="15">
        <f>INDEX(卡牌图鉴!$L$2:$L$53,MATCH(monster!C370,卡牌图鉴!$C$2:$C$53,0))</f>
        <v>3</v>
      </c>
      <c r="N370" s="15">
        <f>INDEX(卡牌图鉴!$AD$2:$AD$53,MATCH(monster!C370,卡牌图鉴!$C$2:$C$53,0))</f>
        <v>6</v>
      </c>
      <c r="O370" s="78">
        <f>INDEX(卡牌图鉴!$K$2:$K$53,MATCH(monster!C370,卡牌图鉴!$C$2:$C$53,0))</f>
        <v>3</v>
      </c>
    </row>
    <row r="371" spans="1:15" x14ac:dyDescent="0.15">
      <c r="A371" s="31">
        <v>1423</v>
      </c>
      <c r="B371" s="31" t="s">
        <v>480</v>
      </c>
      <c r="C371" s="31">
        <v>1417</v>
      </c>
      <c r="D371" s="15">
        <f>INDEX(卡牌图鉴!$S$2:$S$53,MATCH(monster!C371,卡牌图鉴!$C$2:$C$53,0))</f>
        <v>3</v>
      </c>
      <c r="E371" s="31">
        <v>6</v>
      </c>
      <c r="F371" s="15">
        <f>INT(INDEX(卡牌图鉴!$AB$2:$AB$53,MATCH(monster!C371,卡牌图鉴!$C$2:$C$57,0)) * INDEX(数值规划表!$B$61:$B$71,monster!E371+1) * 血量调整)</f>
        <v>349</v>
      </c>
      <c r="G371" s="15">
        <f>ROUND(INDEX(卡牌图鉴!$AB$2:$AB$53,MATCH(monster!C371,卡牌图鉴!$C$2:$C$57,0)) * INDEX(数值规划表!$D$61:$D$71,monster!E371+1)*血量调整,2)</f>
        <v>10.5</v>
      </c>
      <c r="H371" s="15">
        <f>ROUND(INDEX(卡牌图鉴!$AA$2:$AA$53,MATCH(monster!C371,卡牌图鉴!$C$2:$C$53,0)) * INDEX(数值规划表!$C$61:$C$71,monster!E371+1),2)</f>
        <v>130.29</v>
      </c>
      <c r="I371" s="15">
        <f>ROUND(INDEX(卡牌图鉴!$AA$2:$AA$53,MATCH(monster!C371,卡牌图鉴!$C$2:$C$53,0)) * INDEX(数值规划表!$E$61:$E$71,monster!E371+1),2)</f>
        <v>3.91</v>
      </c>
      <c r="J371" s="15">
        <f>INDEX(卡牌图鉴!$J$2:$J$53,MATCH(monster!C371,卡牌图鉴!$C$2:$C$53,0))</f>
        <v>5</v>
      </c>
      <c r="K371" s="15">
        <f>INDEX(卡牌图鉴!$S$2:$S$53,MATCH(monster!C371,卡牌图鉴!$C$2:$C$53,0))</f>
        <v>3</v>
      </c>
      <c r="L371" s="15">
        <f>INDEX(卡牌图鉴!$H$2:$H$53,MATCH(monster!C371,卡牌图鉴!$C$2:$C$53,0))</f>
        <v>1.1000000000000001</v>
      </c>
      <c r="M371" s="15">
        <f>INDEX(卡牌图鉴!$L$2:$L$53,MATCH(monster!C371,卡牌图鉴!$C$2:$C$53,0))</f>
        <v>3</v>
      </c>
      <c r="N371" s="15">
        <f>INDEX(卡牌图鉴!$AD$2:$AD$53,MATCH(monster!C371,卡牌图鉴!$C$2:$C$53,0))</f>
        <v>6</v>
      </c>
      <c r="O371" s="78">
        <f>INDEX(卡牌图鉴!$K$2:$K$53,MATCH(monster!C371,卡牌图鉴!$C$2:$C$53,0))</f>
        <v>3</v>
      </c>
    </row>
    <row r="372" spans="1:15" x14ac:dyDescent="0.15">
      <c r="A372" s="31">
        <v>1424</v>
      </c>
      <c r="B372" s="31" t="s">
        <v>481</v>
      </c>
      <c r="C372" s="31">
        <v>1417</v>
      </c>
      <c r="D372" s="15">
        <f>INDEX(卡牌图鉴!$S$2:$S$53,MATCH(monster!C372,卡牌图鉴!$C$2:$C$53,0))</f>
        <v>3</v>
      </c>
      <c r="E372" s="31">
        <v>7</v>
      </c>
      <c r="F372" s="15">
        <f>INT(INDEX(卡牌图鉴!$AB$2:$AB$53,MATCH(monster!C372,卡牌图鉴!$C$2:$C$57,0)) * INDEX(数值规划表!$B$61:$B$71,monster!E372+1) * 血量调整)</f>
        <v>391</v>
      </c>
      <c r="G372" s="15">
        <f>ROUND(INDEX(卡牌图鉴!$AB$2:$AB$53,MATCH(monster!C372,卡牌图鉴!$C$2:$C$57,0)) * INDEX(数值规划表!$D$61:$D$71,monster!E372+1)*血量调整,2)</f>
        <v>11.76</v>
      </c>
      <c r="H372" s="15">
        <f>ROUND(INDEX(卡牌图鉴!$AA$2:$AA$53,MATCH(monster!C372,卡牌图鉴!$C$2:$C$53,0)) * INDEX(数值规划表!$C$61:$C$71,monster!E372+1),2)</f>
        <v>145.93</v>
      </c>
      <c r="I372" s="15">
        <f>ROUND(INDEX(卡牌图鉴!$AA$2:$AA$53,MATCH(monster!C372,卡牌图鉴!$C$2:$C$53,0)) * INDEX(数值规划表!$E$61:$E$71,monster!E372+1),2)</f>
        <v>4.38</v>
      </c>
      <c r="J372" s="15">
        <f>INDEX(卡牌图鉴!$J$2:$J$53,MATCH(monster!C372,卡牌图鉴!$C$2:$C$53,0))</f>
        <v>5</v>
      </c>
      <c r="K372" s="15">
        <f>INDEX(卡牌图鉴!$S$2:$S$53,MATCH(monster!C372,卡牌图鉴!$C$2:$C$53,0))</f>
        <v>3</v>
      </c>
      <c r="L372" s="15">
        <f>INDEX(卡牌图鉴!$H$2:$H$53,MATCH(monster!C372,卡牌图鉴!$C$2:$C$53,0))</f>
        <v>1.1000000000000001</v>
      </c>
      <c r="M372" s="15">
        <f>INDEX(卡牌图鉴!$L$2:$L$53,MATCH(monster!C372,卡牌图鉴!$C$2:$C$53,0))</f>
        <v>3</v>
      </c>
      <c r="N372" s="15">
        <f>INDEX(卡牌图鉴!$AD$2:$AD$53,MATCH(monster!C372,卡牌图鉴!$C$2:$C$53,0))</f>
        <v>6</v>
      </c>
      <c r="O372" s="78">
        <f>INDEX(卡牌图鉴!$K$2:$K$53,MATCH(monster!C372,卡牌图鉴!$C$2:$C$53,0))</f>
        <v>3</v>
      </c>
    </row>
    <row r="373" spans="1:15" x14ac:dyDescent="0.15">
      <c r="A373" s="31">
        <v>1425</v>
      </c>
      <c r="B373" s="31" t="s">
        <v>482</v>
      </c>
      <c r="C373" s="31">
        <v>1417</v>
      </c>
      <c r="D373" s="15">
        <f>INDEX(卡牌图鉴!$S$2:$S$53,MATCH(monster!C373,卡牌图鉴!$C$2:$C$53,0))</f>
        <v>3</v>
      </c>
      <c r="E373" s="31">
        <v>8</v>
      </c>
      <c r="F373" s="15">
        <f>INT(INDEX(卡牌图鉴!$AB$2:$AB$53,MATCH(monster!C373,卡牌图鉴!$C$2:$C$57,0)) * INDEX(数值规划表!$B$61:$B$71,monster!E373+1) * 血量调整)</f>
        <v>439</v>
      </c>
      <c r="G373" s="15">
        <f>ROUND(INDEX(卡牌图鉴!$AB$2:$AB$53,MATCH(monster!C373,卡牌图鉴!$C$2:$C$57,0)) * INDEX(数值规划表!$D$61:$D$71,monster!E373+1)*血量调整,2)</f>
        <v>13.17</v>
      </c>
      <c r="H373" s="15">
        <f>ROUND(INDEX(卡牌图鉴!$AA$2:$AA$53,MATCH(monster!C373,卡牌图鉴!$C$2:$C$53,0)) * INDEX(数值规划表!$C$61:$C$71,monster!E373+1),2)</f>
        <v>163.44</v>
      </c>
      <c r="I373" s="15">
        <f>ROUND(INDEX(卡牌图鉴!$AA$2:$AA$53,MATCH(monster!C373,卡牌图鉴!$C$2:$C$53,0)) * INDEX(数值规划表!$E$61:$E$71,monster!E373+1),2)</f>
        <v>4.9000000000000004</v>
      </c>
      <c r="J373" s="15">
        <f>INDEX(卡牌图鉴!$J$2:$J$53,MATCH(monster!C373,卡牌图鉴!$C$2:$C$53,0))</f>
        <v>5</v>
      </c>
      <c r="K373" s="15">
        <f>INDEX(卡牌图鉴!$S$2:$S$53,MATCH(monster!C373,卡牌图鉴!$C$2:$C$53,0))</f>
        <v>3</v>
      </c>
      <c r="L373" s="15">
        <f>INDEX(卡牌图鉴!$H$2:$H$53,MATCH(monster!C373,卡牌图鉴!$C$2:$C$53,0))</f>
        <v>1.1000000000000001</v>
      </c>
      <c r="M373" s="15">
        <f>INDEX(卡牌图鉴!$L$2:$L$53,MATCH(monster!C373,卡牌图鉴!$C$2:$C$53,0))</f>
        <v>3</v>
      </c>
      <c r="N373" s="15">
        <f>INDEX(卡牌图鉴!$AD$2:$AD$53,MATCH(monster!C373,卡牌图鉴!$C$2:$C$53,0))</f>
        <v>6</v>
      </c>
      <c r="O373" s="78">
        <f>INDEX(卡牌图鉴!$K$2:$K$53,MATCH(monster!C373,卡牌图鉴!$C$2:$C$53,0))</f>
        <v>3</v>
      </c>
    </row>
    <row r="374" spans="1:15" x14ac:dyDescent="0.15">
      <c r="A374" s="31">
        <v>1426</v>
      </c>
      <c r="B374" s="31" t="s">
        <v>483</v>
      </c>
      <c r="C374" s="31">
        <v>1417</v>
      </c>
      <c r="D374" s="15">
        <f>INDEX(卡牌图鉴!$S$2:$S$53,MATCH(monster!C374,卡牌图鉴!$C$2:$C$53,0))</f>
        <v>3</v>
      </c>
      <c r="E374" s="31">
        <v>9</v>
      </c>
      <c r="F374" s="15">
        <f>INT(INDEX(卡牌图鉴!$AB$2:$AB$53,MATCH(monster!C374,卡牌图鉴!$C$2:$C$57,0)) * INDEX(数值规划表!$B$61:$B$71,monster!E374+1) * 血量调整)</f>
        <v>491</v>
      </c>
      <c r="G374" s="15">
        <f>ROUND(INDEX(卡牌图鉴!$AB$2:$AB$53,MATCH(monster!C374,卡牌图鉴!$C$2:$C$57,0)) * INDEX(数值规划表!$D$61:$D$71,monster!E374+1)*血量调整,2)</f>
        <v>14.75</v>
      </c>
      <c r="H374" s="15">
        <f>ROUND(INDEX(卡牌图鉴!$AA$2:$AA$53,MATCH(monster!C374,卡牌图鉴!$C$2:$C$53,0)) * INDEX(数值规划表!$C$61:$C$71,monster!E374+1),2)</f>
        <v>183.05</v>
      </c>
      <c r="I374" s="15">
        <f>ROUND(INDEX(卡牌图鉴!$AA$2:$AA$53,MATCH(monster!C374,卡牌图鉴!$C$2:$C$53,0)) * INDEX(数值规划表!$E$61:$E$71,monster!E374+1),2)</f>
        <v>5.49</v>
      </c>
      <c r="J374" s="15">
        <f>INDEX(卡牌图鉴!$J$2:$J$53,MATCH(monster!C374,卡牌图鉴!$C$2:$C$53,0))</f>
        <v>5</v>
      </c>
      <c r="K374" s="15">
        <f>INDEX(卡牌图鉴!$S$2:$S$53,MATCH(monster!C374,卡牌图鉴!$C$2:$C$53,0))</f>
        <v>3</v>
      </c>
      <c r="L374" s="15">
        <f>INDEX(卡牌图鉴!$H$2:$H$53,MATCH(monster!C374,卡牌图鉴!$C$2:$C$53,0))</f>
        <v>1.1000000000000001</v>
      </c>
      <c r="M374" s="15">
        <f>INDEX(卡牌图鉴!$L$2:$L$53,MATCH(monster!C374,卡牌图鉴!$C$2:$C$53,0))</f>
        <v>3</v>
      </c>
      <c r="N374" s="15">
        <f>INDEX(卡牌图鉴!$AD$2:$AD$53,MATCH(monster!C374,卡牌图鉴!$C$2:$C$53,0))</f>
        <v>6</v>
      </c>
      <c r="O374" s="78">
        <f>INDEX(卡牌图鉴!$K$2:$K$53,MATCH(monster!C374,卡牌图鉴!$C$2:$C$53,0))</f>
        <v>3</v>
      </c>
    </row>
    <row r="375" spans="1:15" x14ac:dyDescent="0.15">
      <c r="A375" s="31">
        <v>1427</v>
      </c>
      <c r="B375" s="31" t="s">
        <v>484</v>
      </c>
      <c r="C375" s="31">
        <v>1417</v>
      </c>
      <c r="D375" s="15">
        <f>INDEX(卡牌图鉴!$S$2:$S$53,MATCH(monster!C375,卡牌图鉴!$C$2:$C$53,0))</f>
        <v>3</v>
      </c>
      <c r="E375" s="31">
        <v>10</v>
      </c>
      <c r="F375" s="15">
        <f>INT(INDEX(卡牌图鉴!$AB$2:$AB$53,MATCH(monster!C375,卡牌图鉴!$C$2:$C$57,0)) * INDEX(数值规划表!$B$61:$B$71,monster!E375+1) * 血量调整)</f>
        <v>550</v>
      </c>
      <c r="G375" s="15">
        <f>ROUND(INDEX(卡牌图鉴!$AB$2:$AB$53,MATCH(monster!C375,卡牌图鉴!$C$2:$C$57,0)) * INDEX(数值规划表!$D$61:$D$71,monster!E375+1)*血量调整,2)</f>
        <v>16.52</v>
      </c>
      <c r="H375" s="15">
        <f>ROUND(INDEX(卡牌图鉴!$AA$2:$AA$53,MATCH(monster!C375,卡牌图鉴!$C$2:$C$53,0)) * INDEX(数值规划表!$C$61:$C$71,monster!E375+1),2)</f>
        <v>205.02</v>
      </c>
      <c r="I375" s="15">
        <f>ROUND(INDEX(卡牌图鉴!$AA$2:$AA$53,MATCH(monster!C375,卡牌图鉴!$C$2:$C$53,0)) * INDEX(数值规划表!$E$61:$E$71,monster!E375+1),2)</f>
        <v>6.15</v>
      </c>
      <c r="J375" s="15">
        <f>INDEX(卡牌图鉴!$J$2:$J$53,MATCH(monster!C375,卡牌图鉴!$C$2:$C$53,0))</f>
        <v>5</v>
      </c>
      <c r="K375" s="15">
        <f>INDEX(卡牌图鉴!$S$2:$S$53,MATCH(monster!C375,卡牌图鉴!$C$2:$C$53,0))</f>
        <v>3</v>
      </c>
      <c r="L375" s="15">
        <f>INDEX(卡牌图鉴!$H$2:$H$53,MATCH(monster!C375,卡牌图鉴!$C$2:$C$53,0))</f>
        <v>1.1000000000000001</v>
      </c>
      <c r="M375" s="15">
        <f>INDEX(卡牌图鉴!$L$2:$L$53,MATCH(monster!C375,卡牌图鉴!$C$2:$C$53,0))</f>
        <v>3</v>
      </c>
      <c r="N375" s="15">
        <f>INDEX(卡牌图鉴!$AD$2:$AD$53,MATCH(monster!C375,卡牌图鉴!$C$2:$C$53,0))</f>
        <v>6</v>
      </c>
      <c r="O375" s="78">
        <f>INDEX(卡牌图鉴!$K$2:$K$53,MATCH(monster!C375,卡牌图鉴!$C$2:$C$53,0))</f>
        <v>3</v>
      </c>
    </row>
    <row r="376" spans="1:15" x14ac:dyDescent="0.15">
      <c r="A376" s="31">
        <v>1162</v>
      </c>
      <c r="B376" s="31" t="s">
        <v>1372</v>
      </c>
      <c r="C376" s="31">
        <v>1162</v>
      </c>
      <c r="D376" s="15">
        <f>INDEX(卡牌图鉴!$S$2:$S$53,MATCH(monster!C376,卡牌图鉴!$C$2:$C$53,0))</f>
        <v>3</v>
      </c>
      <c r="E376" s="31">
        <v>0</v>
      </c>
      <c r="F376" s="15">
        <f>INT(INDEX(卡牌图鉴!$AB$2:$AB$53,MATCH(monster!C376,卡牌图鉴!$C$2:$C$57,0)) * INDEX(数值规划表!$B$61:$B$71,monster!E376+1) * 血量调整)</f>
        <v>247</v>
      </c>
      <c r="G376" s="15">
        <f>ROUND(INDEX(卡牌图鉴!$AB$2:$AB$53,MATCH(monster!C376,卡牌图鉴!$C$2:$C$57,0)) * INDEX(数值规划表!$D$61:$D$71,monster!E376+1)*血量调整,2)</f>
        <v>7.42</v>
      </c>
      <c r="H376" s="15">
        <f>ROUND(INDEX(卡牌图鉴!$AA$2:$AA$53,MATCH(monster!C376,卡牌图鉴!$C$2:$C$53,0)) * INDEX(数值规划表!$C$61:$C$71,monster!E376+1),2)</f>
        <v>65.16</v>
      </c>
      <c r="I376" s="15">
        <f>ROUND(INDEX(卡牌图鉴!$AA$2:$AA$53,MATCH(monster!C376,卡牌图鉴!$C$2:$C$53,0)) * INDEX(数值规划表!$E$61:$E$71,monster!E376+1),2)</f>
        <v>1.95</v>
      </c>
      <c r="J376" s="15">
        <f>INDEX(卡牌图鉴!$J$2:$J$53,MATCH(monster!C376,卡牌图鉴!$C$2:$C$53,0))</f>
        <v>6</v>
      </c>
      <c r="K376" s="15">
        <f>INDEX(卡牌图鉴!$S$2:$S$53,MATCH(monster!C376,卡牌图鉴!$C$2:$C$53,0))</f>
        <v>3</v>
      </c>
      <c r="L376" s="15">
        <f>INDEX(卡牌图鉴!$H$2:$H$53,MATCH(monster!C376,卡牌图鉴!$C$2:$C$53,0))</f>
        <v>1.4</v>
      </c>
      <c r="M376" s="15">
        <f>INDEX(卡牌图鉴!$L$2:$L$53,MATCH(monster!C376,卡牌图鉴!$C$2:$C$53,0))</f>
        <v>4</v>
      </c>
      <c r="N376" s="15">
        <f>INDEX(卡牌图鉴!$AD$2:$AD$53,MATCH(monster!C376,卡牌图鉴!$C$2:$C$53,0))</f>
        <v>8</v>
      </c>
      <c r="O376" s="78">
        <f>INDEX(卡牌图鉴!$K$2:$K$53,MATCH(monster!C376,卡牌图鉴!$C$2:$C$53,0))</f>
        <v>4</v>
      </c>
    </row>
    <row r="377" spans="1:15" x14ac:dyDescent="0.15">
      <c r="A377" s="31">
        <v>1163</v>
      </c>
      <c r="B377" s="31" t="s">
        <v>1373</v>
      </c>
      <c r="C377" s="31">
        <v>1162</v>
      </c>
      <c r="D377" s="15">
        <f>INDEX(卡牌图鉴!$S$2:$S$53,MATCH(monster!C377,卡牌图鉴!$C$2:$C$53,0))</f>
        <v>3</v>
      </c>
      <c r="E377" s="31">
        <v>1</v>
      </c>
      <c r="F377" s="15">
        <f>INT(INDEX(卡牌图鉴!$AB$2:$AB$53,MATCH(monster!C377,卡牌图鉴!$C$2:$C$57,0)) * INDEX(数值规划表!$B$61:$B$71,monster!E377+1) * 血量调整)</f>
        <v>276</v>
      </c>
      <c r="G377" s="15">
        <f>ROUND(INDEX(卡牌图鉴!$AB$2:$AB$53,MATCH(monster!C377,卡牌图鉴!$C$2:$C$57,0)) * INDEX(数值规划表!$D$61:$D$71,monster!E377+1)*血量调整,2)</f>
        <v>8.31</v>
      </c>
      <c r="H377" s="15">
        <f>ROUND(INDEX(卡牌图鉴!$AA$2:$AA$53,MATCH(monster!C377,卡牌图鉴!$C$2:$C$53,0)) * INDEX(数值规划表!$C$61:$C$71,monster!E377+1),2)</f>
        <v>72.98</v>
      </c>
      <c r="I377" s="15">
        <f>ROUND(INDEX(卡牌图鉴!$AA$2:$AA$53,MATCH(monster!C377,卡牌图鉴!$C$2:$C$53,0)) * INDEX(数值规划表!$E$61:$E$71,monster!E377+1),2)</f>
        <v>2.19</v>
      </c>
      <c r="J377" s="15">
        <f>INDEX(卡牌图鉴!$J$2:$J$53,MATCH(monster!C377,卡牌图鉴!$C$2:$C$53,0))</f>
        <v>6</v>
      </c>
      <c r="K377" s="15">
        <f>INDEX(卡牌图鉴!$S$2:$S$53,MATCH(monster!C377,卡牌图鉴!$C$2:$C$53,0))</f>
        <v>3</v>
      </c>
      <c r="L377" s="15">
        <f>INDEX(卡牌图鉴!$H$2:$H$53,MATCH(monster!C377,卡牌图鉴!$C$2:$C$53,0))</f>
        <v>1.4</v>
      </c>
      <c r="M377" s="15">
        <f>INDEX(卡牌图鉴!$L$2:$L$53,MATCH(monster!C377,卡牌图鉴!$C$2:$C$53,0))</f>
        <v>4</v>
      </c>
      <c r="N377" s="15">
        <f>INDEX(卡牌图鉴!$AD$2:$AD$53,MATCH(monster!C377,卡牌图鉴!$C$2:$C$53,0))</f>
        <v>8</v>
      </c>
      <c r="O377" s="78">
        <f>INDEX(卡牌图鉴!$K$2:$K$53,MATCH(monster!C377,卡牌图鉴!$C$2:$C$53,0))</f>
        <v>4</v>
      </c>
    </row>
    <row r="378" spans="1:15" x14ac:dyDescent="0.15">
      <c r="A378" s="31">
        <v>1164</v>
      </c>
      <c r="B378" s="31" t="s">
        <v>269</v>
      </c>
      <c r="C378" s="31">
        <v>1162</v>
      </c>
      <c r="D378" s="15">
        <f>INDEX(卡牌图鉴!$S$2:$S$53,MATCH(monster!C378,卡牌图鉴!$C$2:$C$53,0))</f>
        <v>3</v>
      </c>
      <c r="E378" s="31">
        <v>2</v>
      </c>
      <c r="F378" s="15">
        <f>INT(INDEX(卡牌图鉴!$AB$2:$AB$53,MATCH(monster!C378,卡牌图鉴!$C$2:$C$57,0)) * INDEX(数值规划表!$B$61:$B$71,monster!E378+1) * 血量调整)</f>
        <v>310</v>
      </c>
      <c r="G378" s="15">
        <f>ROUND(INDEX(卡牌图鉴!$AB$2:$AB$53,MATCH(monster!C378,卡牌图鉴!$C$2:$C$57,0)) * INDEX(数值规划表!$D$61:$D$71,monster!E378+1)*血量调整,2)</f>
        <v>9.31</v>
      </c>
      <c r="H378" s="15">
        <f>ROUND(INDEX(卡牌图鉴!$AA$2:$AA$53,MATCH(monster!C378,卡牌图鉴!$C$2:$C$53,0)) * INDEX(数值规划表!$C$61:$C$71,monster!E378+1),2)</f>
        <v>81.739999999999995</v>
      </c>
      <c r="I378" s="15">
        <f>ROUND(INDEX(卡牌图鉴!$AA$2:$AA$53,MATCH(monster!C378,卡牌图鉴!$C$2:$C$53,0)) * INDEX(数值规划表!$E$61:$E$71,monster!E378+1),2)</f>
        <v>2.4500000000000002</v>
      </c>
      <c r="J378" s="15">
        <f>INDEX(卡牌图鉴!$J$2:$J$53,MATCH(monster!C378,卡牌图鉴!$C$2:$C$53,0))</f>
        <v>6</v>
      </c>
      <c r="K378" s="15">
        <f>INDEX(卡牌图鉴!$S$2:$S$53,MATCH(monster!C378,卡牌图鉴!$C$2:$C$53,0))</f>
        <v>3</v>
      </c>
      <c r="L378" s="15">
        <f>INDEX(卡牌图鉴!$H$2:$H$53,MATCH(monster!C378,卡牌图鉴!$C$2:$C$53,0))</f>
        <v>1.4</v>
      </c>
      <c r="M378" s="15">
        <f>INDEX(卡牌图鉴!$L$2:$L$53,MATCH(monster!C378,卡牌图鉴!$C$2:$C$53,0))</f>
        <v>4</v>
      </c>
      <c r="N378" s="15">
        <f>INDEX(卡牌图鉴!$AD$2:$AD$53,MATCH(monster!C378,卡牌图鉴!$C$2:$C$53,0))</f>
        <v>8</v>
      </c>
      <c r="O378" s="78">
        <f>INDEX(卡牌图鉴!$K$2:$K$53,MATCH(monster!C378,卡牌图鉴!$C$2:$C$53,0))</f>
        <v>4</v>
      </c>
    </row>
    <row r="379" spans="1:15" x14ac:dyDescent="0.15">
      <c r="A379" s="31">
        <v>1165</v>
      </c>
      <c r="B379" s="31" t="s">
        <v>270</v>
      </c>
      <c r="C379" s="31">
        <v>1162</v>
      </c>
      <c r="D379" s="15">
        <f>INDEX(卡牌图鉴!$S$2:$S$53,MATCH(monster!C379,卡牌图鉴!$C$2:$C$53,0))</f>
        <v>3</v>
      </c>
      <c r="E379" s="31">
        <v>3</v>
      </c>
      <c r="F379" s="15">
        <f>INT(INDEX(卡牌图鉴!$AB$2:$AB$53,MATCH(monster!C379,卡牌图鉴!$C$2:$C$57,0)) * INDEX(数值规划表!$B$61:$B$71,monster!E379+1) * 血量调整)</f>
        <v>347</v>
      </c>
      <c r="G379" s="15">
        <f>ROUND(INDEX(卡牌图鉴!$AB$2:$AB$53,MATCH(monster!C379,卡牌图鉴!$C$2:$C$57,0)) * INDEX(数值规划表!$D$61:$D$71,monster!E379+1)*血量调整,2)</f>
        <v>10.42</v>
      </c>
      <c r="H379" s="15">
        <f>ROUND(INDEX(卡牌图鉴!$AA$2:$AA$53,MATCH(monster!C379,卡牌图鉴!$C$2:$C$53,0)) * INDEX(数值规划表!$C$61:$C$71,monster!E379+1),2)</f>
        <v>91.55</v>
      </c>
      <c r="I379" s="15">
        <f>ROUND(INDEX(卡牌图鉴!$AA$2:$AA$53,MATCH(monster!C379,卡牌图鉴!$C$2:$C$53,0)) * INDEX(数值规划表!$E$61:$E$71,monster!E379+1),2)</f>
        <v>2.75</v>
      </c>
      <c r="J379" s="15">
        <f>INDEX(卡牌图鉴!$J$2:$J$53,MATCH(monster!C379,卡牌图鉴!$C$2:$C$53,0))</f>
        <v>6</v>
      </c>
      <c r="K379" s="15">
        <f>INDEX(卡牌图鉴!$S$2:$S$53,MATCH(monster!C379,卡牌图鉴!$C$2:$C$53,0))</f>
        <v>3</v>
      </c>
      <c r="L379" s="15">
        <f>INDEX(卡牌图鉴!$H$2:$H$53,MATCH(monster!C379,卡牌图鉴!$C$2:$C$53,0))</f>
        <v>1.4</v>
      </c>
      <c r="M379" s="15">
        <f>INDEX(卡牌图鉴!$L$2:$L$53,MATCH(monster!C379,卡牌图鉴!$C$2:$C$53,0))</f>
        <v>4</v>
      </c>
      <c r="N379" s="15">
        <f>INDEX(卡牌图鉴!$AD$2:$AD$53,MATCH(monster!C379,卡牌图鉴!$C$2:$C$53,0))</f>
        <v>8</v>
      </c>
      <c r="O379" s="78">
        <f>INDEX(卡牌图鉴!$K$2:$K$53,MATCH(monster!C379,卡牌图鉴!$C$2:$C$53,0))</f>
        <v>4</v>
      </c>
    </row>
    <row r="380" spans="1:15" x14ac:dyDescent="0.15">
      <c r="A380" s="31">
        <v>1166</v>
      </c>
      <c r="B380" s="31" t="s">
        <v>271</v>
      </c>
      <c r="C380" s="31">
        <v>1162</v>
      </c>
      <c r="D380" s="15">
        <f>INDEX(卡牌图鉴!$S$2:$S$53,MATCH(monster!C380,卡牌图鉴!$C$2:$C$53,0))</f>
        <v>3</v>
      </c>
      <c r="E380" s="31">
        <v>4</v>
      </c>
      <c r="F380" s="15">
        <f>INT(INDEX(卡牌图鉴!$AB$2:$AB$53,MATCH(monster!C380,卡牌图鉴!$C$2:$C$57,0)) * INDEX(数值规划表!$B$61:$B$71,monster!E380+1) * 血量调整)</f>
        <v>389</v>
      </c>
      <c r="G380" s="15">
        <f>ROUND(INDEX(卡牌图鉴!$AB$2:$AB$53,MATCH(monster!C380,卡牌图鉴!$C$2:$C$57,0)) * INDEX(数值规划表!$D$61:$D$71,monster!E380+1)*血量调整,2)</f>
        <v>11.67</v>
      </c>
      <c r="H380" s="15">
        <f>ROUND(INDEX(卡牌图鉴!$AA$2:$AA$53,MATCH(monster!C380,卡牌图鉴!$C$2:$C$53,0)) * INDEX(数值规划表!$C$61:$C$71,monster!E380+1),2)</f>
        <v>102.53</v>
      </c>
      <c r="I380" s="15">
        <f>ROUND(INDEX(卡牌图鉴!$AA$2:$AA$53,MATCH(monster!C380,卡牌图鉴!$C$2:$C$53,0)) * INDEX(数值规划表!$E$61:$E$71,monster!E380+1),2)</f>
        <v>3.08</v>
      </c>
      <c r="J380" s="15">
        <f>INDEX(卡牌图鉴!$J$2:$J$53,MATCH(monster!C380,卡牌图鉴!$C$2:$C$53,0))</f>
        <v>6</v>
      </c>
      <c r="K380" s="15">
        <f>INDEX(卡牌图鉴!$S$2:$S$53,MATCH(monster!C380,卡牌图鉴!$C$2:$C$53,0))</f>
        <v>3</v>
      </c>
      <c r="L380" s="15">
        <f>INDEX(卡牌图鉴!$H$2:$H$53,MATCH(monster!C380,卡牌图鉴!$C$2:$C$53,0))</f>
        <v>1.4</v>
      </c>
      <c r="M380" s="15">
        <f>INDEX(卡牌图鉴!$L$2:$L$53,MATCH(monster!C380,卡牌图鉴!$C$2:$C$53,0))</f>
        <v>4</v>
      </c>
      <c r="N380" s="15">
        <f>INDEX(卡牌图鉴!$AD$2:$AD$53,MATCH(monster!C380,卡牌图鉴!$C$2:$C$53,0))</f>
        <v>8</v>
      </c>
      <c r="O380" s="78">
        <f>INDEX(卡牌图鉴!$K$2:$K$53,MATCH(monster!C380,卡牌图鉴!$C$2:$C$53,0))</f>
        <v>4</v>
      </c>
    </row>
    <row r="381" spans="1:15" x14ac:dyDescent="0.15">
      <c r="A381" s="31">
        <v>1167</v>
      </c>
      <c r="B381" s="31" t="s">
        <v>272</v>
      </c>
      <c r="C381" s="31">
        <v>1162</v>
      </c>
      <c r="D381" s="15">
        <f>INDEX(卡牌图鉴!$S$2:$S$53,MATCH(monster!C381,卡牌图鉴!$C$2:$C$53,0))</f>
        <v>3</v>
      </c>
      <c r="E381" s="31">
        <v>5</v>
      </c>
      <c r="F381" s="15">
        <f>INT(INDEX(卡牌图鉴!$AB$2:$AB$53,MATCH(monster!C381,卡牌图鉴!$C$2:$C$57,0)) * INDEX(数值规划表!$B$61:$B$71,monster!E381+1) * 血量调整)</f>
        <v>435</v>
      </c>
      <c r="G381" s="15">
        <f>ROUND(INDEX(卡牌图鉴!$AB$2:$AB$53,MATCH(monster!C381,卡牌图鉴!$C$2:$C$57,0)) * INDEX(数值规划表!$D$61:$D$71,monster!E381+1)*血量调整,2)</f>
        <v>13.07</v>
      </c>
      <c r="H381" s="15">
        <f>ROUND(INDEX(卡牌图鉴!$AA$2:$AA$53,MATCH(monster!C381,卡牌图鉴!$C$2:$C$53,0)) * INDEX(数值规划表!$C$61:$C$71,monster!E381+1),2)</f>
        <v>114.83</v>
      </c>
      <c r="I381" s="15">
        <f>ROUND(INDEX(卡牌图鉴!$AA$2:$AA$53,MATCH(monster!C381,卡牌图鉴!$C$2:$C$53,0)) * INDEX(数值规划表!$E$61:$E$71,monster!E381+1),2)</f>
        <v>3.45</v>
      </c>
      <c r="J381" s="15">
        <f>INDEX(卡牌图鉴!$J$2:$J$53,MATCH(monster!C381,卡牌图鉴!$C$2:$C$53,0))</f>
        <v>6</v>
      </c>
      <c r="K381" s="15">
        <f>INDEX(卡牌图鉴!$S$2:$S$53,MATCH(monster!C381,卡牌图鉴!$C$2:$C$53,0))</f>
        <v>3</v>
      </c>
      <c r="L381" s="15">
        <f>INDEX(卡牌图鉴!$H$2:$H$53,MATCH(monster!C381,卡牌图鉴!$C$2:$C$53,0))</f>
        <v>1.4</v>
      </c>
      <c r="M381" s="15">
        <f>INDEX(卡牌图鉴!$L$2:$L$53,MATCH(monster!C381,卡牌图鉴!$C$2:$C$53,0))</f>
        <v>4</v>
      </c>
      <c r="N381" s="15">
        <f>INDEX(卡牌图鉴!$AD$2:$AD$53,MATCH(monster!C381,卡牌图鉴!$C$2:$C$53,0))</f>
        <v>8</v>
      </c>
      <c r="O381" s="78">
        <f>INDEX(卡牌图鉴!$K$2:$K$53,MATCH(monster!C381,卡牌图鉴!$C$2:$C$53,0))</f>
        <v>4</v>
      </c>
    </row>
    <row r="382" spans="1:15" x14ac:dyDescent="0.15">
      <c r="A382" s="31">
        <v>1168</v>
      </c>
      <c r="B382" s="31" t="s">
        <v>273</v>
      </c>
      <c r="C382" s="31">
        <v>1162</v>
      </c>
      <c r="D382" s="15">
        <f>INDEX(卡牌图鉴!$S$2:$S$53,MATCH(monster!C382,卡牌图鉴!$C$2:$C$53,0))</f>
        <v>3</v>
      </c>
      <c r="E382" s="31">
        <v>6</v>
      </c>
      <c r="F382" s="15">
        <f>INT(INDEX(卡牌图鉴!$AB$2:$AB$53,MATCH(monster!C382,卡牌图鉴!$C$2:$C$57,0)) * INDEX(数值规划表!$B$61:$B$71,monster!E382+1) * 血量调整)</f>
        <v>488</v>
      </c>
      <c r="G382" s="15">
        <f>ROUND(INDEX(卡牌图鉴!$AB$2:$AB$53,MATCH(monster!C382,卡牌图鉴!$C$2:$C$57,0)) * INDEX(数值规划表!$D$61:$D$71,monster!E382+1)*血量调整,2)</f>
        <v>14.64</v>
      </c>
      <c r="H382" s="15">
        <f>ROUND(INDEX(卡牌图鉴!$AA$2:$AA$53,MATCH(monster!C382,卡牌图鉴!$C$2:$C$53,0)) * INDEX(数值规划表!$C$61:$C$71,monster!E382+1),2)</f>
        <v>128.61000000000001</v>
      </c>
      <c r="I382" s="15">
        <f>ROUND(INDEX(卡牌图鉴!$AA$2:$AA$53,MATCH(monster!C382,卡牌图鉴!$C$2:$C$53,0)) * INDEX(数值规划表!$E$61:$E$71,monster!E382+1),2)</f>
        <v>3.86</v>
      </c>
      <c r="J382" s="15">
        <f>INDEX(卡牌图鉴!$J$2:$J$53,MATCH(monster!C382,卡牌图鉴!$C$2:$C$53,0))</f>
        <v>6</v>
      </c>
      <c r="K382" s="15">
        <f>INDEX(卡牌图鉴!$S$2:$S$53,MATCH(monster!C382,卡牌图鉴!$C$2:$C$53,0))</f>
        <v>3</v>
      </c>
      <c r="L382" s="15">
        <f>INDEX(卡牌图鉴!$H$2:$H$53,MATCH(monster!C382,卡牌图鉴!$C$2:$C$53,0))</f>
        <v>1.4</v>
      </c>
      <c r="M382" s="15">
        <f>INDEX(卡牌图鉴!$L$2:$L$53,MATCH(monster!C382,卡牌图鉴!$C$2:$C$53,0))</f>
        <v>4</v>
      </c>
      <c r="N382" s="15">
        <f>INDEX(卡牌图鉴!$AD$2:$AD$53,MATCH(monster!C382,卡牌图鉴!$C$2:$C$53,0))</f>
        <v>8</v>
      </c>
      <c r="O382" s="78">
        <f>INDEX(卡牌图鉴!$K$2:$K$53,MATCH(monster!C382,卡牌图鉴!$C$2:$C$53,0))</f>
        <v>4</v>
      </c>
    </row>
    <row r="383" spans="1:15" x14ac:dyDescent="0.15">
      <c r="A383" s="31">
        <v>1169</v>
      </c>
      <c r="B383" s="31" t="s">
        <v>274</v>
      </c>
      <c r="C383" s="31">
        <v>1162</v>
      </c>
      <c r="D383" s="15">
        <f>INDEX(卡牌图鉴!$S$2:$S$53,MATCH(monster!C383,卡牌图鉴!$C$2:$C$53,0))</f>
        <v>3</v>
      </c>
      <c r="E383" s="31">
        <v>7</v>
      </c>
      <c r="F383" s="15">
        <f>INT(INDEX(卡牌图鉴!$AB$2:$AB$53,MATCH(monster!C383,卡牌图鉴!$C$2:$C$57,0)) * INDEX(数值规划表!$B$61:$B$71,monster!E383+1) * 血量调整)</f>
        <v>546</v>
      </c>
      <c r="G383" s="15">
        <f>ROUND(INDEX(卡牌图鉴!$AB$2:$AB$53,MATCH(monster!C383,卡牌图鉴!$C$2:$C$57,0)) * INDEX(数值规划表!$D$61:$D$71,monster!E383+1)*血量调整,2)</f>
        <v>16.399999999999999</v>
      </c>
      <c r="H383" s="15">
        <f>ROUND(INDEX(卡牌图鉴!$AA$2:$AA$53,MATCH(monster!C383,卡牌图鉴!$C$2:$C$53,0)) * INDEX(数值规划表!$C$61:$C$71,monster!E383+1),2)</f>
        <v>144.05000000000001</v>
      </c>
      <c r="I383" s="15">
        <f>ROUND(INDEX(卡牌图鉴!$AA$2:$AA$53,MATCH(monster!C383,卡牌图鉴!$C$2:$C$53,0)) * INDEX(数值规划表!$E$61:$E$71,monster!E383+1),2)</f>
        <v>4.32</v>
      </c>
      <c r="J383" s="15">
        <f>INDEX(卡牌图鉴!$J$2:$J$53,MATCH(monster!C383,卡牌图鉴!$C$2:$C$53,0))</f>
        <v>6</v>
      </c>
      <c r="K383" s="15">
        <f>INDEX(卡牌图鉴!$S$2:$S$53,MATCH(monster!C383,卡牌图鉴!$C$2:$C$53,0))</f>
        <v>3</v>
      </c>
      <c r="L383" s="15">
        <f>INDEX(卡牌图鉴!$H$2:$H$53,MATCH(monster!C383,卡牌图鉴!$C$2:$C$53,0))</f>
        <v>1.4</v>
      </c>
      <c r="M383" s="15">
        <f>INDEX(卡牌图鉴!$L$2:$L$53,MATCH(monster!C383,卡牌图鉴!$C$2:$C$53,0))</f>
        <v>4</v>
      </c>
      <c r="N383" s="15">
        <f>INDEX(卡牌图鉴!$AD$2:$AD$53,MATCH(monster!C383,卡牌图鉴!$C$2:$C$53,0))</f>
        <v>8</v>
      </c>
      <c r="O383" s="78">
        <f>INDEX(卡牌图鉴!$K$2:$K$53,MATCH(monster!C383,卡牌图鉴!$C$2:$C$53,0))</f>
        <v>4</v>
      </c>
    </row>
    <row r="384" spans="1:15" x14ac:dyDescent="0.15">
      <c r="A384" s="31">
        <v>1170</v>
      </c>
      <c r="B384" s="31" t="s">
        <v>275</v>
      </c>
      <c r="C384" s="31">
        <v>1162</v>
      </c>
      <c r="D384" s="15">
        <f>INDEX(卡牌图鉴!$S$2:$S$53,MATCH(monster!C384,卡牌图鉴!$C$2:$C$53,0))</f>
        <v>3</v>
      </c>
      <c r="E384" s="31">
        <v>8</v>
      </c>
      <c r="F384" s="15">
        <f>INT(INDEX(卡牌图鉴!$AB$2:$AB$53,MATCH(monster!C384,卡牌图鉴!$C$2:$C$57,0)) * INDEX(数值规划表!$B$61:$B$71,monster!E384+1) * 血量调整)</f>
        <v>612</v>
      </c>
      <c r="G384" s="15">
        <f>ROUND(INDEX(卡牌图鉴!$AB$2:$AB$53,MATCH(monster!C384,卡牌图鉴!$C$2:$C$57,0)) * INDEX(数值规划表!$D$61:$D$71,monster!E384+1)*血量调整,2)</f>
        <v>18.37</v>
      </c>
      <c r="H384" s="15">
        <f>ROUND(INDEX(卡牌图鉴!$AA$2:$AA$53,MATCH(monster!C384,卡牌图鉴!$C$2:$C$53,0)) * INDEX(数值规划表!$C$61:$C$71,monster!E384+1),2)</f>
        <v>161.33000000000001</v>
      </c>
      <c r="I384" s="15">
        <f>ROUND(INDEX(卡牌图鉴!$AA$2:$AA$53,MATCH(monster!C384,卡牌图鉴!$C$2:$C$53,0)) * INDEX(数值规划表!$E$61:$E$71,monster!E384+1),2)</f>
        <v>4.84</v>
      </c>
      <c r="J384" s="15">
        <f>INDEX(卡牌图鉴!$J$2:$J$53,MATCH(monster!C384,卡牌图鉴!$C$2:$C$53,0))</f>
        <v>6</v>
      </c>
      <c r="K384" s="15">
        <f>INDEX(卡牌图鉴!$S$2:$S$53,MATCH(monster!C384,卡牌图鉴!$C$2:$C$53,0))</f>
        <v>3</v>
      </c>
      <c r="L384" s="15">
        <f>INDEX(卡牌图鉴!$H$2:$H$53,MATCH(monster!C384,卡牌图鉴!$C$2:$C$53,0))</f>
        <v>1.4</v>
      </c>
      <c r="M384" s="15">
        <f>INDEX(卡牌图鉴!$L$2:$L$53,MATCH(monster!C384,卡牌图鉴!$C$2:$C$53,0))</f>
        <v>4</v>
      </c>
      <c r="N384" s="15">
        <f>INDEX(卡牌图鉴!$AD$2:$AD$53,MATCH(monster!C384,卡牌图鉴!$C$2:$C$53,0))</f>
        <v>8</v>
      </c>
      <c r="O384" s="78">
        <f>INDEX(卡牌图鉴!$K$2:$K$53,MATCH(monster!C384,卡牌图鉴!$C$2:$C$53,0))</f>
        <v>4</v>
      </c>
    </row>
    <row r="385" spans="1:15" x14ac:dyDescent="0.15">
      <c r="A385" s="31">
        <v>1171</v>
      </c>
      <c r="B385" s="31" t="s">
        <v>276</v>
      </c>
      <c r="C385" s="31">
        <v>1162</v>
      </c>
      <c r="D385" s="15">
        <f>INDEX(卡牌图鉴!$S$2:$S$53,MATCH(monster!C385,卡牌图鉴!$C$2:$C$53,0))</f>
        <v>3</v>
      </c>
      <c r="E385" s="31">
        <v>9</v>
      </c>
      <c r="F385" s="15">
        <f>INT(INDEX(卡牌图鉴!$AB$2:$AB$53,MATCH(monster!C385,卡牌图鉴!$C$2:$C$57,0)) * INDEX(数值规划表!$B$61:$B$71,monster!E385+1) * 血量调整)</f>
        <v>685</v>
      </c>
      <c r="G385" s="15">
        <f>ROUND(INDEX(卡牌图鉴!$AB$2:$AB$53,MATCH(monster!C385,卡牌图鉴!$C$2:$C$57,0)) * INDEX(数值规划表!$D$61:$D$71,monster!E385+1)*血量调整,2)</f>
        <v>20.57</v>
      </c>
      <c r="H385" s="15">
        <f>ROUND(INDEX(卡牌图鉴!$AA$2:$AA$53,MATCH(monster!C385,卡牌图鉴!$C$2:$C$53,0)) * INDEX(数值规划表!$C$61:$C$71,monster!E385+1),2)</f>
        <v>180.69</v>
      </c>
      <c r="I385" s="15">
        <f>ROUND(INDEX(卡牌图鉴!$AA$2:$AA$53,MATCH(monster!C385,卡牌图鉴!$C$2:$C$53,0)) * INDEX(数值规划表!$E$61:$E$71,monster!E385+1),2)</f>
        <v>5.42</v>
      </c>
      <c r="J385" s="15">
        <f>INDEX(卡牌图鉴!$J$2:$J$53,MATCH(monster!C385,卡牌图鉴!$C$2:$C$53,0))</f>
        <v>6</v>
      </c>
      <c r="K385" s="15">
        <f>INDEX(卡牌图鉴!$S$2:$S$53,MATCH(monster!C385,卡牌图鉴!$C$2:$C$53,0))</f>
        <v>3</v>
      </c>
      <c r="L385" s="15">
        <f>INDEX(卡牌图鉴!$H$2:$H$53,MATCH(monster!C385,卡牌图鉴!$C$2:$C$53,0))</f>
        <v>1.4</v>
      </c>
      <c r="M385" s="15">
        <f>INDEX(卡牌图鉴!$L$2:$L$53,MATCH(monster!C385,卡牌图鉴!$C$2:$C$53,0))</f>
        <v>4</v>
      </c>
      <c r="N385" s="15">
        <f>INDEX(卡牌图鉴!$AD$2:$AD$53,MATCH(monster!C385,卡牌图鉴!$C$2:$C$53,0))</f>
        <v>8</v>
      </c>
      <c r="O385" s="78">
        <f>INDEX(卡牌图鉴!$K$2:$K$53,MATCH(monster!C385,卡牌图鉴!$C$2:$C$53,0))</f>
        <v>4</v>
      </c>
    </row>
    <row r="386" spans="1:15" x14ac:dyDescent="0.15">
      <c r="A386" s="31">
        <v>1172</v>
      </c>
      <c r="B386" s="31" t="s">
        <v>277</v>
      </c>
      <c r="C386" s="31">
        <v>1162</v>
      </c>
      <c r="D386" s="15">
        <f>INDEX(卡牌图鉴!$S$2:$S$53,MATCH(monster!C386,卡牌图鉴!$C$2:$C$53,0))</f>
        <v>3</v>
      </c>
      <c r="E386" s="31">
        <v>10</v>
      </c>
      <c r="F386" s="15">
        <f>INT(INDEX(卡牌图鉴!$AB$2:$AB$53,MATCH(monster!C386,卡牌图鉴!$C$2:$C$57,0)) * INDEX(数值规划表!$B$61:$B$71,monster!E386+1) * 血量调整)</f>
        <v>768</v>
      </c>
      <c r="G386" s="15">
        <f>ROUND(INDEX(卡牌图鉴!$AB$2:$AB$53,MATCH(monster!C386,卡牌图鉴!$C$2:$C$57,0)) * INDEX(数值规划表!$D$61:$D$71,monster!E386+1)*血量调整,2)</f>
        <v>23.04</v>
      </c>
      <c r="H386" s="15">
        <f>ROUND(INDEX(卡牌图鉴!$AA$2:$AA$53,MATCH(monster!C386,卡牌图鉴!$C$2:$C$53,0)) * INDEX(数值规划表!$C$61:$C$71,monster!E386+1),2)</f>
        <v>202.38</v>
      </c>
      <c r="I386" s="15">
        <f>ROUND(INDEX(卡牌图鉴!$AA$2:$AA$53,MATCH(monster!C386,卡牌图鉴!$C$2:$C$53,0)) * INDEX(数值规划表!$E$61:$E$71,monster!E386+1),2)</f>
        <v>6.07</v>
      </c>
      <c r="J386" s="15">
        <f>INDEX(卡牌图鉴!$J$2:$J$53,MATCH(monster!C386,卡牌图鉴!$C$2:$C$53,0))</f>
        <v>6</v>
      </c>
      <c r="K386" s="15">
        <f>INDEX(卡牌图鉴!$S$2:$S$53,MATCH(monster!C386,卡牌图鉴!$C$2:$C$53,0))</f>
        <v>3</v>
      </c>
      <c r="L386" s="15">
        <f>INDEX(卡牌图鉴!$H$2:$H$53,MATCH(monster!C386,卡牌图鉴!$C$2:$C$53,0))</f>
        <v>1.4</v>
      </c>
      <c r="M386" s="15">
        <f>INDEX(卡牌图鉴!$L$2:$L$53,MATCH(monster!C386,卡牌图鉴!$C$2:$C$53,0))</f>
        <v>4</v>
      </c>
      <c r="N386" s="15">
        <f>INDEX(卡牌图鉴!$AD$2:$AD$53,MATCH(monster!C386,卡牌图鉴!$C$2:$C$53,0))</f>
        <v>8</v>
      </c>
      <c r="O386" s="78">
        <f>INDEX(卡牌图鉴!$K$2:$K$53,MATCH(monster!C386,卡牌图鉴!$C$2:$C$53,0))</f>
        <v>4</v>
      </c>
    </row>
    <row r="387" spans="1:15" x14ac:dyDescent="0.15">
      <c r="A387" s="31">
        <v>1067</v>
      </c>
      <c r="B387" s="31" t="s">
        <v>1362</v>
      </c>
      <c r="C387" s="31">
        <v>1067</v>
      </c>
      <c r="D387" s="15">
        <f>INDEX(卡牌图鉴!$S$2:$S$53,MATCH(monster!C387,卡牌图鉴!$C$2:$C$53,0))</f>
        <v>1</v>
      </c>
      <c r="E387" s="31">
        <v>0</v>
      </c>
      <c r="F387" s="15">
        <f>INT(INDEX(卡牌图鉴!$AB$2:$AB$53,MATCH(monster!C387,卡牌图鉴!$C$2:$C$57,0)) * INDEX(数值规划表!$B$61:$B$71,monster!E387+1) * 血量调整)</f>
        <v>64</v>
      </c>
      <c r="G387" s="15">
        <f>ROUND(INDEX(卡牌图鉴!$AB$2:$AB$53,MATCH(monster!C387,卡牌图鉴!$C$2:$C$57,0)) * INDEX(数值规划表!$D$61:$D$71,monster!E387+1)*血量调整,2)</f>
        <v>1.94</v>
      </c>
      <c r="H387" s="15">
        <f>ROUND(INDEX(卡牌图鉴!$AA$2:$AA$53,MATCH(monster!C387,卡牌图鉴!$C$2:$C$53,0)) * INDEX(数值规划表!$C$61:$C$71,monster!E387+1),2)</f>
        <v>42.01</v>
      </c>
      <c r="I387" s="15">
        <f>ROUND(INDEX(卡牌图鉴!$AA$2:$AA$53,MATCH(monster!C387,卡牌图鉴!$C$2:$C$53,0)) * INDEX(数值规划表!$E$61:$E$71,monster!E387+1),2)</f>
        <v>1.26</v>
      </c>
      <c r="J387" s="15">
        <f>INDEX(卡牌图鉴!$J$2:$J$53,MATCH(monster!C387,卡牌图鉴!$C$2:$C$53,0))</f>
        <v>1.2</v>
      </c>
      <c r="K387" s="15">
        <f>INDEX(卡牌图鉴!$S$2:$S$53,MATCH(monster!C387,卡牌图鉴!$C$2:$C$53,0))</f>
        <v>1</v>
      </c>
      <c r="L387" s="15">
        <f>INDEX(卡牌图鉴!$H$2:$H$53,MATCH(monster!C387,卡牌图鉴!$C$2:$C$53,0))</f>
        <v>2</v>
      </c>
      <c r="M387" s="15">
        <f>INDEX(卡牌图鉴!$L$2:$L$53,MATCH(monster!C387,卡牌图鉴!$C$2:$C$53,0))</f>
        <v>4</v>
      </c>
      <c r="N387" s="15">
        <f>INDEX(卡牌图鉴!$AD$2:$AD$53,MATCH(monster!C387,卡牌图鉴!$C$2:$C$53,0))</f>
        <v>8</v>
      </c>
      <c r="O387" s="78">
        <f>INDEX(卡牌图鉴!$K$2:$K$53,MATCH(monster!C387,卡牌图鉴!$C$2:$C$53,0))</f>
        <v>4</v>
      </c>
    </row>
    <row r="388" spans="1:15" x14ac:dyDescent="0.15">
      <c r="A388" s="31">
        <v>1068</v>
      </c>
      <c r="B388" s="31" t="s">
        <v>1363</v>
      </c>
      <c r="C388" s="31">
        <v>1067</v>
      </c>
      <c r="D388" s="15">
        <f>INDEX(卡牌图鉴!$S$2:$S$53,MATCH(monster!C388,卡牌图鉴!$C$2:$C$53,0))</f>
        <v>1</v>
      </c>
      <c r="E388" s="31">
        <v>1</v>
      </c>
      <c r="F388" s="15">
        <f>INT(INDEX(卡牌图鉴!$AB$2:$AB$53,MATCH(monster!C388,卡牌图鉴!$C$2:$C$57,0)) * INDEX(数值规划表!$B$61:$B$71,monster!E388+1) * 血量调整)</f>
        <v>72</v>
      </c>
      <c r="G388" s="15">
        <f>ROUND(INDEX(卡牌图鉴!$AB$2:$AB$53,MATCH(monster!C388,卡牌图鉴!$C$2:$C$57,0)) * INDEX(数值规划表!$D$61:$D$71,monster!E388+1)*血量调整,2)</f>
        <v>2.17</v>
      </c>
      <c r="H388" s="15">
        <f>ROUND(INDEX(卡牌图鉴!$AA$2:$AA$53,MATCH(monster!C388,卡牌图鉴!$C$2:$C$53,0)) * INDEX(数值规划表!$C$61:$C$71,monster!E388+1),2)</f>
        <v>47.05</v>
      </c>
      <c r="I388" s="15">
        <f>ROUND(INDEX(卡牌图鉴!$AA$2:$AA$53,MATCH(monster!C388,卡牌图鉴!$C$2:$C$53,0)) * INDEX(数值规划表!$E$61:$E$71,monster!E388+1),2)</f>
        <v>1.41</v>
      </c>
      <c r="J388" s="15">
        <f>INDEX(卡牌图鉴!$J$2:$J$53,MATCH(monster!C388,卡牌图鉴!$C$2:$C$53,0))</f>
        <v>1.2</v>
      </c>
      <c r="K388" s="15">
        <f>INDEX(卡牌图鉴!$S$2:$S$53,MATCH(monster!C388,卡牌图鉴!$C$2:$C$53,0))</f>
        <v>1</v>
      </c>
      <c r="L388" s="15">
        <f>INDEX(卡牌图鉴!$H$2:$H$53,MATCH(monster!C388,卡牌图鉴!$C$2:$C$53,0))</f>
        <v>2</v>
      </c>
      <c r="M388" s="15">
        <f>INDEX(卡牌图鉴!$L$2:$L$53,MATCH(monster!C388,卡牌图鉴!$C$2:$C$53,0))</f>
        <v>4</v>
      </c>
      <c r="N388" s="15">
        <f>INDEX(卡牌图鉴!$AD$2:$AD$53,MATCH(monster!C388,卡牌图鉴!$C$2:$C$53,0))</f>
        <v>8</v>
      </c>
      <c r="O388" s="78">
        <f>INDEX(卡牌图鉴!$K$2:$K$53,MATCH(monster!C388,卡牌图鉴!$C$2:$C$53,0))</f>
        <v>4</v>
      </c>
    </row>
    <row r="389" spans="1:15" x14ac:dyDescent="0.15">
      <c r="A389" s="31">
        <v>1069</v>
      </c>
      <c r="B389" s="31" t="s">
        <v>205</v>
      </c>
      <c r="C389" s="31">
        <v>1067</v>
      </c>
      <c r="D389" s="15">
        <f>INDEX(卡牌图鉴!$S$2:$S$53,MATCH(monster!C389,卡牌图鉴!$C$2:$C$53,0))</f>
        <v>1</v>
      </c>
      <c r="E389" s="31">
        <v>2</v>
      </c>
      <c r="F389" s="15">
        <f>INT(INDEX(卡牌图鉴!$AB$2:$AB$53,MATCH(monster!C389,卡牌图鉴!$C$2:$C$57,0)) * INDEX(数值规划表!$B$61:$B$71,monster!E389+1) * 血量调整)</f>
        <v>81</v>
      </c>
      <c r="G389" s="15">
        <f>ROUND(INDEX(卡牌图鉴!$AB$2:$AB$53,MATCH(monster!C389,卡牌图鉴!$C$2:$C$57,0)) * INDEX(数值规划表!$D$61:$D$71,monster!E389+1)*血量调整,2)</f>
        <v>2.4300000000000002</v>
      </c>
      <c r="H389" s="15">
        <f>ROUND(INDEX(卡牌图鉴!$AA$2:$AA$53,MATCH(monster!C389,卡牌图鉴!$C$2:$C$53,0)) * INDEX(数值规划表!$C$61:$C$71,monster!E389+1),2)</f>
        <v>52.7</v>
      </c>
      <c r="I389" s="15">
        <f>ROUND(INDEX(卡牌图鉴!$AA$2:$AA$53,MATCH(monster!C389,卡牌图鉴!$C$2:$C$53,0)) * INDEX(数值规划表!$E$61:$E$71,monster!E389+1),2)</f>
        <v>1.58</v>
      </c>
      <c r="J389" s="15">
        <f>INDEX(卡牌图鉴!$J$2:$J$53,MATCH(monster!C389,卡牌图鉴!$C$2:$C$53,0))</f>
        <v>1.2</v>
      </c>
      <c r="K389" s="15">
        <f>INDEX(卡牌图鉴!$S$2:$S$53,MATCH(monster!C389,卡牌图鉴!$C$2:$C$53,0))</f>
        <v>1</v>
      </c>
      <c r="L389" s="15">
        <f>INDEX(卡牌图鉴!$H$2:$H$53,MATCH(monster!C389,卡牌图鉴!$C$2:$C$53,0))</f>
        <v>2</v>
      </c>
      <c r="M389" s="15">
        <f>INDEX(卡牌图鉴!$L$2:$L$53,MATCH(monster!C389,卡牌图鉴!$C$2:$C$53,0))</f>
        <v>4</v>
      </c>
      <c r="N389" s="15">
        <f>INDEX(卡牌图鉴!$AD$2:$AD$53,MATCH(monster!C389,卡牌图鉴!$C$2:$C$53,0))</f>
        <v>8</v>
      </c>
      <c r="O389" s="78">
        <f>INDEX(卡牌图鉴!$K$2:$K$53,MATCH(monster!C389,卡牌图鉴!$C$2:$C$53,0))</f>
        <v>4</v>
      </c>
    </row>
    <row r="390" spans="1:15" x14ac:dyDescent="0.15">
      <c r="A390" s="31">
        <v>1070</v>
      </c>
      <c r="B390" s="31" t="s">
        <v>206</v>
      </c>
      <c r="C390" s="31">
        <v>1067</v>
      </c>
      <c r="D390" s="15">
        <f>INDEX(卡牌图鉴!$S$2:$S$53,MATCH(monster!C390,卡牌图鉴!$C$2:$C$53,0))</f>
        <v>1</v>
      </c>
      <c r="E390" s="31">
        <v>3</v>
      </c>
      <c r="F390" s="15">
        <f>INT(INDEX(卡牌图鉴!$AB$2:$AB$53,MATCH(monster!C390,卡牌图鉴!$C$2:$C$57,0)) * INDEX(数值规划表!$B$61:$B$71,monster!E390+1) * 血量调整)</f>
        <v>90</v>
      </c>
      <c r="G390" s="15">
        <f>ROUND(INDEX(卡牌图鉴!$AB$2:$AB$53,MATCH(monster!C390,卡牌图鉴!$C$2:$C$57,0)) * INDEX(数值规划表!$D$61:$D$71,monster!E390+1)*血量调整,2)</f>
        <v>2.72</v>
      </c>
      <c r="H390" s="15">
        <f>ROUND(INDEX(卡牌图鉴!$AA$2:$AA$53,MATCH(monster!C390,卡牌图鉴!$C$2:$C$53,0)) * INDEX(数值规划表!$C$61:$C$71,monster!E390+1),2)</f>
        <v>59.02</v>
      </c>
      <c r="I390" s="15">
        <f>ROUND(INDEX(卡牌图鉴!$AA$2:$AA$53,MATCH(monster!C390,卡牌图鉴!$C$2:$C$53,0)) * INDEX(数值规划表!$E$61:$E$71,monster!E390+1),2)</f>
        <v>1.77</v>
      </c>
      <c r="J390" s="15">
        <f>INDEX(卡牌图鉴!$J$2:$J$53,MATCH(monster!C390,卡牌图鉴!$C$2:$C$53,0))</f>
        <v>1.2</v>
      </c>
      <c r="K390" s="15">
        <f>INDEX(卡牌图鉴!$S$2:$S$53,MATCH(monster!C390,卡牌图鉴!$C$2:$C$53,0))</f>
        <v>1</v>
      </c>
      <c r="L390" s="15">
        <f>INDEX(卡牌图鉴!$H$2:$H$53,MATCH(monster!C390,卡牌图鉴!$C$2:$C$53,0))</f>
        <v>2</v>
      </c>
      <c r="M390" s="15">
        <f>INDEX(卡牌图鉴!$L$2:$L$53,MATCH(monster!C390,卡牌图鉴!$C$2:$C$53,0))</f>
        <v>4</v>
      </c>
      <c r="N390" s="15">
        <f>INDEX(卡牌图鉴!$AD$2:$AD$53,MATCH(monster!C390,卡牌图鉴!$C$2:$C$53,0))</f>
        <v>8</v>
      </c>
      <c r="O390" s="78">
        <f>INDEX(卡牌图鉴!$K$2:$K$53,MATCH(monster!C390,卡牌图鉴!$C$2:$C$53,0))</f>
        <v>4</v>
      </c>
    </row>
    <row r="391" spans="1:15" x14ac:dyDescent="0.15">
      <c r="A391" s="31">
        <v>1071</v>
      </c>
      <c r="B391" s="31" t="s">
        <v>207</v>
      </c>
      <c r="C391" s="31">
        <v>1067</v>
      </c>
      <c r="D391" s="15">
        <f>INDEX(卡牌图鉴!$S$2:$S$53,MATCH(monster!C391,卡牌图鉴!$C$2:$C$53,0))</f>
        <v>1</v>
      </c>
      <c r="E391" s="31">
        <v>4</v>
      </c>
      <c r="F391" s="15">
        <f>INT(INDEX(卡牌图鉴!$AB$2:$AB$53,MATCH(monster!C391,卡牌图鉴!$C$2:$C$57,0)) * INDEX(数值规划表!$B$61:$B$71,monster!E391+1) * 血量调整)</f>
        <v>101</v>
      </c>
      <c r="G391" s="15">
        <f>ROUND(INDEX(卡牌图鉴!$AB$2:$AB$53,MATCH(monster!C391,卡牌图鉴!$C$2:$C$57,0)) * INDEX(数值规划表!$D$61:$D$71,monster!E391+1)*血量调整,2)</f>
        <v>3.05</v>
      </c>
      <c r="H391" s="15">
        <f>ROUND(INDEX(卡牌图鉴!$AA$2:$AA$53,MATCH(monster!C391,卡牌图鉴!$C$2:$C$53,0)) * INDEX(数值规划表!$C$61:$C$71,monster!E391+1),2)</f>
        <v>66.099999999999994</v>
      </c>
      <c r="I391" s="15">
        <f>ROUND(INDEX(卡牌图鉴!$AA$2:$AA$53,MATCH(monster!C391,卡牌图鉴!$C$2:$C$53,0)) * INDEX(数值规划表!$E$61:$E$71,monster!E391+1),2)</f>
        <v>1.98</v>
      </c>
      <c r="J391" s="15">
        <f>INDEX(卡牌图鉴!$J$2:$J$53,MATCH(monster!C391,卡牌图鉴!$C$2:$C$53,0))</f>
        <v>1.2</v>
      </c>
      <c r="K391" s="15">
        <f>INDEX(卡牌图鉴!$S$2:$S$53,MATCH(monster!C391,卡牌图鉴!$C$2:$C$53,0))</f>
        <v>1</v>
      </c>
      <c r="L391" s="15">
        <f>INDEX(卡牌图鉴!$H$2:$H$53,MATCH(monster!C391,卡牌图鉴!$C$2:$C$53,0))</f>
        <v>2</v>
      </c>
      <c r="M391" s="15">
        <f>INDEX(卡牌图鉴!$L$2:$L$53,MATCH(monster!C391,卡牌图鉴!$C$2:$C$53,0))</f>
        <v>4</v>
      </c>
      <c r="N391" s="15">
        <f>INDEX(卡牌图鉴!$AD$2:$AD$53,MATCH(monster!C391,卡牌图鉴!$C$2:$C$53,0))</f>
        <v>8</v>
      </c>
      <c r="O391" s="78">
        <f>INDEX(卡牌图鉴!$K$2:$K$53,MATCH(monster!C391,卡牌图鉴!$C$2:$C$53,0))</f>
        <v>4</v>
      </c>
    </row>
    <row r="392" spans="1:15" x14ac:dyDescent="0.15">
      <c r="A392" s="31">
        <v>1072</v>
      </c>
      <c r="B392" s="31" t="s">
        <v>208</v>
      </c>
      <c r="C392" s="31">
        <v>1067</v>
      </c>
      <c r="D392" s="15">
        <f>INDEX(卡牌图鉴!$S$2:$S$53,MATCH(monster!C392,卡牌图鉴!$C$2:$C$53,0))</f>
        <v>1</v>
      </c>
      <c r="E392" s="31">
        <v>5</v>
      </c>
      <c r="F392" s="15">
        <f>INT(INDEX(卡牌图鉴!$AB$2:$AB$53,MATCH(monster!C392,卡牌图鉴!$C$2:$C$57,0)) * INDEX(数值规划表!$B$61:$B$71,monster!E392+1) * 血量调整)</f>
        <v>113</v>
      </c>
      <c r="G392" s="15">
        <f>ROUND(INDEX(卡牌图鉴!$AB$2:$AB$53,MATCH(monster!C392,卡牌图鉴!$C$2:$C$57,0)) * INDEX(数值规划表!$D$61:$D$71,monster!E392+1)*血量调整,2)</f>
        <v>3.42</v>
      </c>
      <c r="H392" s="15">
        <f>ROUND(INDEX(卡牌图鉴!$AA$2:$AA$53,MATCH(monster!C392,卡牌图鉴!$C$2:$C$53,0)) * INDEX(数值规划表!$C$61:$C$71,monster!E392+1),2)</f>
        <v>74.040000000000006</v>
      </c>
      <c r="I392" s="15">
        <f>ROUND(INDEX(卡牌图鉴!$AA$2:$AA$53,MATCH(monster!C392,卡牌图鉴!$C$2:$C$53,0)) * INDEX(数值规划表!$E$61:$E$71,monster!E392+1),2)</f>
        <v>2.2200000000000002</v>
      </c>
      <c r="J392" s="15">
        <f>INDEX(卡牌图鉴!$J$2:$J$53,MATCH(monster!C392,卡牌图鉴!$C$2:$C$53,0))</f>
        <v>1.2</v>
      </c>
      <c r="K392" s="15">
        <f>INDEX(卡牌图鉴!$S$2:$S$53,MATCH(monster!C392,卡牌图鉴!$C$2:$C$53,0))</f>
        <v>1</v>
      </c>
      <c r="L392" s="15">
        <f>INDEX(卡牌图鉴!$H$2:$H$53,MATCH(monster!C392,卡牌图鉴!$C$2:$C$53,0))</f>
        <v>2</v>
      </c>
      <c r="M392" s="15">
        <f>INDEX(卡牌图鉴!$L$2:$L$53,MATCH(monster!C392,卡牌图鉴!$C$2:$C$53,0))</f>
        <v>4</v>
      </c>
      <c r="N392" s="15">
        <f>INDEX(卡牌图鉴!$AD$2:$AD$53,MATCH(monster!C392,卡牌图鉴!$C$2:$C$53,0))</f>
        <v>8</v>
      </c>
      <c r="O392" s="78">
        <f>INDEX(卡牌图鉴!$K$2:$K$53,MATCH(monster!C392,卡牌图鉴!$C$2:$C$53,0))</f>
        <v>4</v>
      </c>
    </row>
    <row r="393" spans="1:15" x14ac:dyDescent="0.15">
      <c r="A393" s="31">
        <v>1073</v>
      </c>
      <c r="B393" s="31" t="s">
        <v>209</v>
      </c>
      <c r="C393" s="31">
        <v>1067</v>
      </c>
      <c r="D393" s="15">
        <f>INDEX(卡牌图鉴!$S$2:$S$53,MATCH(monster!C393,卡牌图鉴!$C$2:$C$53,0))</f>
        <v>1</v>
      </c>
      <c r="E393" s="31">
        <v>6</v>
      </c>
      <c r="F393" s="15">
        <f>INT(INDEX(卡牌图鉴!$AB$2:$AB$53,MATCH(monster!C393,卡牌图鉴!$C$2:$C$57,0)) * INDEX(数值规划表!$B$61:$B$71,monster!E393+1) * 血量调整)</f>
        <v>127</v>
      </c>
      <c r="G393" s="15">
        <f>ROUND(INDEX(卡牌图鉴!$AB$2:$AB$53,MATCH(monster!C393,卡牌图鉴!$C$2:$C$57,0)) * INDEX(数值规划表!$D$61:$D$71,monster!E393+1)*血量调整,2)</f>
        <v>3.83</v>
      </c>
      <c r="H393" s="15">
        <f>ROUND(INDEX(卡牌图鉴!$AA$2:$AA$53,MATCH(monster!C393,卡牌图鉴!$C$2:$C$53,0)) * INDEX(数值规划表!$C$61:$C$71,monster!E393+1),2)</f>
        <v>82.92</v>
      </c>
      <c r="I393" s="15">
        <f>ROUND(INDEX(卡牌图鉴!$AA$2:$AA$53,MATCH(monster!C393,卡牌图鉴!$C$2:$C$53,0)) * INDEX(数值规划表!$E$61:$E$71,monster!E393+1),2)</f>
        <v>2.4900000000000002</v>
      </c>
      <c r="J393" s="15">
        <f>INDEX(卡牌图鉴!$J$2:$J$53,MATCH(monster!C393,卡牌图鉴!$C$2:$C$53,0))</f>
        <v>1.2</v>
      </c>
      <c r="K393" s="15">
        <f>INDEX(卡牌图鉴!$S$2:$S$53,MATCH(monster!C393,卡牌图鉴!$C$2:$C$53,0))</f>
        <v>1</v>
      </c>
      <c r="L393" s="15">
        <f>INDEX(卡牌图鉴!$H$2:$H$53,MATCH(monster!C393,卡牌图鉴!$C$2:$C$53,0))</f>
        <v>2</v>
      </c>
      <c r="M393" s="15">
        <f>INDEX(卡牌图鉴!$L$2:$L$53,MATCH(monster!C393,卡牌图鉴!$C$2:$C$53,0))</f>
        <v>4</v>
      </c>
      <c r="N393" s="15">
        <f>INDEX(卡牌图鉴!$AD$2:$AD$53,MATCH(monster!C393,卡牌图鉴!$C$2:$C$53,0))</f>
        <v>8</v>
      </c>
      <c r="O393" s="78">
        <f>INDEX(卡牌图鉴!$K$2:$K$53,MATCH(monster!C393,卡牌图鉴!$C$2:$C$53,0))</f>
        <v>4</v>
      </c>
    </row>
    <row r="394" spans="1:15" x14ac:dyDescent="0.15">
      <c r="A394" s="31">
        <v>1074</v>
      </c>
      <c r="B394" s="31" t="s">
        <v>210</v>
      </c>
      <c r="C394" s="31">
        <v>1067</v>
      </c>
      <c r="D394" s="15">
        <f>INDEX(卡牌图鉴!$S$2:$S$53,MATCH(monster!C394,卡牌图鉴!$C$2:$C$53,0))</f>
        <v>1</v>
      </c>
      <c r="E394" s="31">
        <v>7</v>
      </c>
      <c r="F394" s="15">
        <f>INT(INDEX(卡牌图鉴!$AB$2:$AB$53,MATCH(monster!C394,卡牌图鉴!$C$2:$C$57,0)) * INDEX(数值规划表!$B$61:$B$71,monster!E394+1) * 血量调整)</f>
        <v>142</v>
      </c>
      <c r="G394" s="15">
        <f>ROUND(INDEX(卡牌图鉴!$AB$2:$AB$53,MATCH(monster!C394,卡牌图鉴!$C$2:$C$57,0)) * INDEX(数值规划表!$D$61:$D$71,monster!E394+1)*血量调整,2)</f>
        <v>4.29</v>
      </c>
      <c r="H394" s="15">
        <f>ROUND(INDEX(卡牌图鉴!$AA$2:$AA$53,MATCH(monster!C394,卡牌图鉴!$C$2:$C$53,0)) * INDEX(数值规划表!$C$61:$C$71,monster!E394+1),2)</f>
        <v>92.87</v>
      </c>
      <c r="I394" s="15">
        <f>ROUND(INDEX(卡牌图鉴!$AA$2:$AA$53,MATCH(monster!C394,卡牌图鉴!$C$2:$C$53,0)) * INDEX(数值规划表!$E$61:$E$71,monster!E394+1),2)</f>
        <v>2.79</v>
      </c>
      <c r="J394" s="15">
        <f>INDEX(卡牌图鉴!$J$2:$J$53,MATCH(monster!C394,卡牌图鉴!$C$2:$C$53,0))</f>
        <v>1.2</v>
      </c>
      <c r="K394" s="15">
        <f>INDEX(卡牌图鉴!$S$2:$S$53,MATCH(monster!C394,卡牌图鉴!$C$2:$C$53,0))</f>
        <v>1</v>
      </c>
      <c r="L394" s="15">
        <f>INDEX(卡牌图鉴!$H$2:$H$53,MATCH(monster!C394,卡牌图鉴!$C$2:$C$53,0))</f>
        <v>2</v>
      </c>
      <c r="M394" s="15">
        <f>INDEX(卡牌图鉴!$L$2:$L$53,MATCH(monster!C394,卡牌图鉴!$C$2:$C$53,0))</f>
        <v>4</v>
      </c>
      <c r="N394" s="15">
        <f>INDEX(卡牌图鉴!$AD$2:$AD$53,MATCH(monster!C394,卡牌图鉴!$C$2:$C$53,0))</f>
        <v>8</v>
      </c>
      <c r="O394" s="78">
        <f>INDEX(卡牌图鉴!$K$2:$K$53,MATCH(monster!C394,卡牌图鉴!$C$2:$C$53,0))</f>
        <v>4</v>
      </c>
    </row>
    <row r="395" spans="1:15" x14ac:dyDescent="0.15">
      <c r="A395" s="31">
        <v>1075</v>
      </c>
      <c r="B395" s="31" t="s">
        <v>211</v>
      </c>
      <c r="C395" s="31">
        <v>1067</v>
      </c>
      <c r="D395" s="15">
        <f>INDEX(卡牌图鉴!$S$2:$S$53,MATCH(monster!C395,卡牌图鉴!$C$2:$C$53,0))</f>
        <v>1</v>
      </c>
      <c r="E395" s="31">
        <v>8</v>
      </c>
      <c r="F395" s="15">
        <f>INT(INDEX(卡牌图鉴!$AB$2:$AB$53,MATCH(monster!C395,卡牌图鉴!$C$2:$C$57,0)) * INDEX(数值规划表!$B$61:$B$71,monster!E395+1) * 血量调整)</f>
        <v>160</v>
      </c>
      <c r="G395" s="15">
        <f>ROUND(INDEX(卡牌图鉴!$AB$2:$AB$53,MATCH(monster!C395,卡牌图鉴!$C$2:$C$57,0)) * INDEX(数值规划表!$D$61:$D$71,monster!E395+1)*血量调整,2)</f>
        <v>4.8</v>
      </c>
      <c r="H395" s="15">
        <f>ROUND(INDEX(卡牌图鉴!$AA$2:$AA$53,MATCH(monster!C395,卡牌图鉴!$C$2:$C$53,0)) * INDEX(数值规划表!$C$61:$C$71,monster!E395+1),2)</f>
        <v>104.02</v>
      </c>
      <c r="I395" s="15">
        <f>ROUND(INDEX(卡牌图鉴!$AA$2:$AA$53,MATCH(monster!C395,卡牌图鉴!$C$2:$C$53,0)) * INDEX(数值规划表!$E$61:$E$71,monster!E395+1),2)</f>
        <v>3.12</v>
      </c>
      <c r="J395" s="15">
        <f>INDEX(卡牌图鉴!$J$2:$J$53,MATCH(monster!C395,卡牌图鉴!$C$2:$C$53,0))</f>
        <v>1.2</v>
      </c>
      <c r="K395" s="15">
        <f>INDEX(卡牌图鉴!$S$2:$S$53,MATCH(monster!C395,卡牌图鉴!$C$2:$C$53,0))</f>
        <v>1</v>
      </c>
      <c r="L395" s="15">
        <f>INDEX(卡牌图鉴!$H$2:$H$53,MATCH(monster!C395,卡牌图鉴!$C$2:$C$53,0))</f>
        <v>2</v>
      </c>
      <c r="M395" s="15">
        <f>INDEX(卡牌图鉴!$L$2:$L$53,MATCH(monster!C395,卡牌图鉴!$C$2:$C$53,0))</f>
        <v>4</v>
      </c>
      <c r="N395" s="15">
        <f>INDEX(卡牌图鉴!$AD$2:$AD$53,MATCH(monster!C395,卡牌图鉴!$C$2:$C$53,0))</f>
        <v>8</v>
      </c>
      <c r="O395" s="78">
        <f>INDEX(卡牌图鉴!$K$2:$K$53,MATCH(monster!C395,卡牌图鉴!$C$2:$C$53,0))</f>
        <v>4</v>
      </c>
    </row>
    <row r="396" spans="1:15" x14ac:dyDescent="0.15">
      <c r="A396" s="31">
        <v>1076</v>
      </c>
      <c r="B396" s="31" t="s">
        <v>212</v>
      </c>
      <c r="C396" s="31">
        <v>1067</v>
      </c>
      <c r="D396" s="15">
        <f>INDEX(卡牌图鉴!$S$2:$S$53,MATCH(monster!C396,卡牌图鉴!$C$2:$C$53,0))</f>
        <v>1</v>
      </c>
      <c r="E396" s="31">
        <v>9</v>
      </c>
      <c r="F396" s="15">
        <f>INT(INDEX(卡牌图鉴!$AB$2:$AB$53,MATCH(monster!C396,卡牌图鉴!$C$2:$C$57,0)) * INDEX(数值规划表!$B$61:$B$71,monster!E396+1) * 血量调整)</f>
        <v>179</v>
      </c>
      <c r="G396" s="15">
        <f>ROUND(INDEX(卡牌图鉴!$AB$2:$AB$53,MATCH(monster!C396,卡牌图鉴!$C$2:$C$57,0)) * INDEX(数值规划表!$D$61:$D$71,monster!E396+1)*血量调整,2)</f>
        <v>5.38</v>
      </c>
      <c r="H396" s="15">
        <f>ROUND(INDEX(卡牌图鉴!$AA$2:$AA$53,MATCH(monster!C396,卡牌图鉴!$C$2:$C$53,0)) * INDEX(数值规划表!$C$61:$C$71,monster!E396+1),2)</f>
        <v>116.5</v>
      </c>
      <c r="I396" s="15">
        <f>ROUND(INDEX(卡牌图鉴!$AA$2:$AA$53,MATCH(monster!C396,卡牌图鉴!$C$2:$C$53,0)) * INDEX(数值规划表!$E$61:$E$71,monster!E396+1),2)</f>
        <v>3.49</v>
      </c>
      <c r="J396" s="15">
        <f>INDEX(卡牌图鉴!$J$2:$J$53,MATCH(monster!C396,卡牌图鉴!$C$2:$C$53,0))</f>
        <v>1.2</v>
      </c>
      <c r="K396" s="15">
        <f>INDEX(卡牌图鉴!$S$2:$S$53,MATCH(monster!C396,卡牌图鉴!$C$2:$C$53,0))</f>
        <v>1</v>
      </c>
      <c r="L396" s="15">
        <f>INDEX(卡牌图鉴!$H$2:$H$53,MATCH(monster!C396,卡牌图鉴!$C$2:$C$53,0))</f>
        <v>2</v>
      </c>
      <c r="M396" s="15">
        <f>INDEX(卡牌图鉴!$L$2:$L$53,MATCH(monster!C396,卡牌图鉴!$C$2:$C$53,0))</f>
        <v>4</v>
      </c>
      <c r="N396" s="15">
        <f>INDEX(卡牌图鉴!$AD$2:$AD$53,MATCH(monster!C396,卡牌图鉴!$C$2:$C$53,0))</f>
        <v>8</v>
      </c>
      <c r="O396" s="78">
        <f>INDEX(卡牌图鉴!$K$2:$K$53,MATCH(monster!C396,卡牌图鉴!$C$2:$C$53,0))</f>
        <v>4</v>
      </c>
    </row>
    <row r="397" spans="1:15" x14ac:dyDescent="0.15">
      <c r="A397" s="31">
        <v>1077</v>
      </c>
      <c r="B397" s="31" t="s">
        <v>213</v>
      </c>
      <c r="C397" s="31">
        <v>1067</v>
      </c>
      <c r="D397" s="15">
        <f>INDEX(卡牌图鉴!$S$2:$S$53,MATCH(monster!C397,卡牌图鉴!$C$2:$C$53,0))</f>
        <v>1</v>
      </c>
      <c r="E397" s="31">
        <v>10</v>
      </c>
      <c r="F397" s="15">
        <f>INT(INDEX(卡牌图鉴!$AB$2:$AB$53,MATCH(monster!C397,卡牌图鉴!$C$2:$C$57,0)) * INDEX(数值规划表!$B$61:$B$71,monster!E397+1) * 血量调整)</f>
        <v>200</v>
      </c>
      <c r="G397" s="15">
        <f>ROUND(INDEX(卡牌图鉴!$AB$2:$AB$53,MATCH(monster!C397,卡牌图鉴!$C$2:$C$57,0)) * INDEX(数值规划表!$D$61:$D$71,monster!E397+1)*血量调整,2)</f>
        <v>6.02</v>
      </c>
      <c r="H397" s="15">
        <f>ROUND(INDEX(卡牌图鉴!$AA$2:$AA$53,MATCH(monster!C397,卡牌图鉴!$C$2:$C$53,0)) * INDEX(数值规划表!$C$61:$C$71,monster!E397+1),2)</f>
        <v>130.47999999999999</v>
      </c>
      <c r="I397" s="15">
        <f>ROUND(INDEX(卡牌图鉴!$AA$2:$AA$53,MATCH(monster!C397,卡牌图鉴!$C$2:$C$53,0)) * INDEX(数值规划表!$E$61:$E$71,monster!E397+1),2)</f>
        <v>3.91</v>
      </c>
      <c r="J397" s="15">
        <f>INDEX(卡牌图鉴!$J$2:$J$53,MATCH(monster!C397,卡牌图鉴!$C$2:$C$53,0))</f>
        <v>1.2</v>
      </c>
      <c r="K397" s="15">
        <f>INDEX(卡牌图鉴!$S$2:$S$53,MATCH(monster!C397,卡牌图鉴!$C$2:$C$53,0))</f>
        <v>1</v>
      </c>
      <c r="L397" s="15">
        <f>INDEX(卡牌图鉴!$H$2:$H$53,MATCH(monster!C397,卡牌图鉴!$C$2:$C$53,0))</f>
        <v>2</v>
      </c>
      <c r="M397" s="15">
        <f>INDEX(卡牌图鉴!$L$2:$L$53,MATCH(monster!C397,卡牌图鉴!$C$2:$C$53,0))</f>
        <v>4</v>
      </c>
      <c r="N397" s="15">
        <f>INDEX(卡牌图鉴!$AD$2:$AD$53,MATCH(monster!C397,卡牌图鉴!$C$2:$C$53,0))</f>
        <v>8</v>
      </c>
      <c r="O397" s="78">
        <f>INDEX(卡牌图鉴!$K$2:$K$53,MATCH(monster!C397,卡牌图鉴!$C$2:$C$53,0))</f>
        <v>4</v>
      </c>
    </row>
    <row r="398" spans="1:15" x14ac:dyDescent="0.15">
      <c r="A398" s="31">
        <v>1362</v>
      </c>
      <c r="B398" s="31" t="s">
        <v>424</v>
      </c>
      <c r="C398" s="31">
        <v>1362</v>
      </c>
      <c r="D398" s="15">
        <f>INDEX(卡牌图鉴!$S$2:$S$53,MATCH(monster!C398,卡牌图鉴!$C$2:$C$53,0))</f>
        <v>4</v>
      </c>
      <c r="E398" s="31">
        <v>0</v>
      </c>
      <c r="F398" s="15">
        <f>INT(INDEX(卡牌图鉴!$AB$2:$AB$53,MATCH(monster!C398,卡牌图鉴!$C$2:$C$57,0)) * INDEX(数值规划表!$B$61:$B$71,monster!E398+1) * 血量调整)</f>
        <v>972</v>
      </c>
      <c r="G398" s="15">
        <f>ROUND(INDEX(卡牌图鉴!$AB$2:$AB$53,MATCH(monster!C398,卡牌图鉴!$C$2:$C$57,0)) * INDEX(数值规划表!$D$61:$D$71,monster!E398+1)*血量调整,2)</f>
        <v>29.19</v>
      </c>
      <c r="H398" s="15">
        <f>ROUND(INDEX(卡牌图鉴!$AA$2:$AA$53,MATCH(monster!C398,卡牌图鉴!$C$2:$C$53,0)) * INDEX(数值规划表!$C$61:$C$71,monster!E398+1),2)</f>
        <v>106.92</v>
      </c>
      <c r="I398" s="15">
        <f>ROUND(INDEX(卡牌图鉴!$AA$2:$AA$53,MATCH(monster!C398,卡牌图鉴!$C$2:$C$53,0)) * INDEX(数值规划表!$E$61:$E$71,monster!E398+1),2)</f>
        <v>3.21</v>
      </c>
      <c r="J398" s="15">
        <f>INDEX(卡牌图鉴!$J$2:$J$53,MATCH(monster!C398,卡牌图鉴!$C$2:$C$53,0))</f>
        <v>1.2</v>
      </c>
      <c r="K398" s="15">
        <f>INDEX(卡牌图鉴!$S$2:$S$53,MATCH(monster!C398,卡牌图鉴!$C$2:$C$53,0))</f>
        <v>4</v>
      </c>
      <c r="L398" s="15">
        <f>INDEX(卡牌图鉴!$H$2:$H$53,MATCH(monster!C398,卡牌图鉴!$C$2:$C$53,0))</f>
        <v>1.1000000000000001</v>
      </c>
      <c r="M398" s="15">
        <f>INDEX(卡牌图鉴!$L$2:$L$53,MATCH(monster!C398,卡牌图鉴!$C$2:$C$53,0))</f>
        <v>5</v>
      </c>
      <c r="N398" s="15">
        <f>INDEX(卡牌图鉴!$AD$2:$AD$53,MATCH(monster!C398,卡牌图鉴!$C$2:$C$53,0))</f>
        <v>8</v>
      </c>
      <c r="O398" s="78">
        <f>INDEX(卡牌图鉴!$K$2:$K$53,MATCH(monster!C398,卡牌图鉴!$C$2:$C$53,0))</f>
        <v>5</v>
      </c>
    </row>
    <row r="399" spans="1:15" x14ac:dyDescent="0.15">
      <c r="A399" s="31">
        <v>1363</v>
      </c>
      <c r="B399" s="31" t="s">
        <v>425</v>
      </c>
      <c r="C399" s="31">
        <v>1362</v>
      </c>
      <c r="D399" s="15">
        <f>INDEX(卡牌图鉴!$S$2:$S$53,MATCH(monster!C399,卡牌图鉴!$C$2:$C$53,0))</f>
        <v>4</v>
      </c>
      <c r="E399" s="31">
        <v>1</v>
      </c>
      <c r="F399" s="15">
        <f>INT(INDEX(卡牌图鉴!$AB$2:$AB$53,MATCH(monster!C399,卡牌图鉴!$C$2:$C$57,0)) * INDEX(数值规划表!$B$61:$B$71,monster!E399+1) * 血量调整)</f>
        <v>1089</v>
      </c>
      <c r="G399" s="15">
        <f>ROUND(INDEX(卡牌图鉴!$AB$2:$AB$53,MATCH(monster!C399,卡牌图鉴!$C$2:$C$57,0)) * INDEX(数值规划表!$D$61:$D$71,monster!E399+1)*血量调整,2)</f>
        <v>32.69</v>
      </c>
      <c r="H399" s="15">
        <f>ROUND(INDEX(卡牌图鉴!$AA$2:$AA$53,MATCH(monster!C399,卡牌图鉴!$C$2:$C$53,0)) * INDEX(数值规划表!$C$61:$C$71,monster!E399+1),2)</f>
        <v>119.75</v>
      </c>
      <c r="I399" s="15">
        <f>ROUND(INDEX(卡牌图鉴!$AA$2:$AA$53,MATCH(monster!C399,卡牌图鉴!$C$2:$C$53,0)) * INDEX(数值规划表!$E$61:$E$71,monster!E399+1),2)</f>
        <v>3.59</v>
      </c>
      <c r="J399" s="15">
        <f>INDEX(卡牌图鉴!$J$2:$J$53,MATCH(monster!C399,卡牌图鉴!$C$2:$C$53,0))</f>
        <v>1.2</v>
      </c>
      <c r="K399" s="15">
        <f>INDEX(卡牌图鉴!$S$2:$S$53,MATCH(monster!C399,卡牌图鉴!$C$2:$C$53,0))</f>
        <v>4</v>
      </c>
      <c r="L399" s="15">
        <f>INDEX(卡牌图鉴!$H$2:$H$53,MATCH(monster!C399,卡牌图鉴!$C$2:$C$53,0))</f>
        <v>1.1000000000000001</v>
      </c>
      <c r="M399" s="15">
        <f>INDEX(卡牌图鉴!$L$2:$L$53,MATCH(monster!C399,卡牌图鉴!$C$2:$C$53,0))</f>
        <v>5</v>
      </c>
      <c r="N399" s="15">
        <f>INDEX(卡牌图鉴!$AD$2:$AD$53,MATCH(monster!C399,卡牌图鉴!$C$2:$C$53,0))</f>
        <v>8</v>
      </c>
      <c r="O399" s="78">
        <f>INDEX(卡牌图鉴!$K$2:$K$53,MATCH(monster!C399,卡牌图鉴!$C$2:$C$53,0))</f>
        <v>5</v>
      </c>
    </row>
    <row r="400" spans="1:15" x14ac:dyDescent="0.15">
      <c r="A400" s="31">
        <v>1364</v>
      </c>
      <c r="B400" s="31" t="s">
        <v>426</v>
      </c>
      <c r="C400" s="31">
        <v>1362</v>
      </c>
      <c r="D400" s="15">
        <f>INDEX(卡牌图鉴!$S$2:$S$53,MATCH(monster!C400,卡牌图鉴!$C$2:$C$53,0))</f>
        <v>4</v>
      </c>
      <c r="E400" s="31">
        <v>2</v>
      </c>
      <c r="F400" s="15">
        <f>INT(INDEX(卡牌图鉴!$AB$2:$AB$53,MATCH(monster!C400,卡牌图鉴!$C$2:$C$57,0)) * INDEX(数值规划表!$B$61:$B$71,monster!E400+1) * 血量调整)</f>
        <v>1220</v>
      </c>
      <c r="G400" s="15">
        <f>ROUND(INDEX(卡牌图鉴!$AB$2:$AB$53,MATCH(monster!C400,卡牌图鉴!$C$2:$C$57,0)) * INDEX(数值规划表!$D$61:$D$71,monster!E400+1)*血量调整,2)</f>
        <v>36.61</v>
      </c>
      <c r="H400" s="15">
        <f>ROUND(INDEX(卡牌图鉴!$AA$2:$AA$53,MATCH(monster!C400,卡牌图鉴!$C$2:$C$53,0)) * INDEX(数值规划表!$C$61:$C$71,monster!E400+1),2)</f>
        <v>134.12</v>
      </c>
      <c r="I400" s="15">
        <f>ROUND(INDEX(卡牌图鉴!$AA$2:$AA$53,MATCH(monster!C400,卡牌图鉴!$C$2:$C$53,0)) * INDEX(数值规划表!$E$61:$E$71,monster!E400+1),2)</f>
        <v>4.0199999999999996</v>
      </c>
      <c r="J400" s="15">
        <f>INDEX(卡牌图鉴!$J$2:$J$53,MATCH(monster!C400,卡牌图鉴!$C$2:$C$53,0))</f>
        <v>1.2</v>
      </c>
      <c r="K400" s="15">
        <f>INDEX(卡牌图鉴!$S$2:$S$53,MATCH(monster!C400,卡牌图鉴!$C$2:$C$53,0))</f>
        <v>4</v>
      </c>
      <c r="L400" s="15">
        <f>INDEX(卡牌图鉴!$H$2:$H$53,MATCH(monster!C400,卡牌图鉴!$C$2:$C$53,0))</f>
        <v>1.1000000000000001</v>
      </c>
      <c r="M400" s="15">
        <f>INDEX(卡牌图鉴!$L$2:$L$53,MATCH(monster!C400,卡牌图鉴!$C$2:$C$53,0))</f>
        <v>5</v>
      </c>
      <c r="N400" s="15">
        <f>INDEX(卡牌图鉴!$AD$2:$AD$53,MATCH(monster!C400,卡牌图鉴!$C$2:$C$53,0))</f>
        <v>8</v>
      </c>
      <c r="O400" s="78">
        <f>INDEX(卡牌图鉴!$K$2:$K$53,MATCH(monster!C400,卡牌图鉴!$C$2:$C$53,0))</f>
        <v>5</v>
      </c>
    </row>
    <row r="401" spans="1:15" x14ac:dyDescent="0.15">
      <c r="A401" s="31">
        <v>1365</v>
      </c>
      <c r="B401" s="31" t="s">
        <v>427</v>
      </c>
      <c r="C401" s="31">
        <v>1362</v>
      </c>
      <c r="D401" s="15">
        <f>INDEX(卡牌图鉴!$S$2:$S$53,MATCH(monster!C401,卡牌图鉴!$C$2:$C$53,0))</f>
        <v>4</v>
      </c>
      <c r="E401" s="31">
        <v>3</v>
      </c>
      <c r="F401" s="15">
        <f>INT(INDEX(卡牌图鉴!$AB$2:$AB$53,MATCH(monster!C401,卡牌图鉴!$C$2:$C$57,0)) * INDEX(数值规划表!$B$61:$B$71,monster!E401+1) * 血量调整)</f>
        <v>1366</v>
      </c>
      <c r="G401" s="15">
        <f>ROUND(INDEX(卡牌图鉴!$AB$2:$AB$53,MATCH(monster!C401,卡牌图鉴!$C$2:$C$57,0)) * INDEX(数值规划表!$D$61:$D$71,monster!E401+1)*血量调整,2)</f>
        <v>41.01</v>
      </c>
      <c r="H401" s="15">
        <f>ROUND(INDEX(卡牌图鉴!$AA$2:$AA$53,MATCH(monster!C401,卡牌图鉴!$C$2:$C$53,0)) * INDEX(数值规划表!$C$61:$C$71,monster!E401+1),2)</f>
        <v>150.21</v>
      </c>
      <c r="I401" s="15">
        <f>ROUND(INDEX(卡牌图鉴!$AA$2:$AA$53,MATCH(monster!C401,卡牌图鉴!$C$2:$C$53,0)) * INDEX(数值规划表!$E$61:$E$71,monster!E401+1),2)</f>
        <v>4.51</v>
      </c>
      <c r="J401" s="15">
        <f>INDEX(卡牌图鉴!$J$2:$J$53,MATCH(monster!C401,卡牌图鉴!$C$2:$C$53,0))</f>
        <v>1.2</v>
      </c>
      <c r="K401" s="15">
        <f>INDEX(卡牌图鉴!$S$2:$S$53,MATCH(monster!C401,卡牌图鉴!$C$2:$C$53,0))</f>
        <v>4</v>
      </c>
      <c r="L401" s="15">
        <f>INDEX(卡牌图鉴!$H$2:$H$53,MATCH(monster!C401,卡牌图鉴!$C$2:$C$53,0))</f>
        <v>1.1000000000000001</v>
      </c>
      <c r="M401" s="15">
        <f>INDEX(卡牌图鉴!$L$2:$L$53,MATCH(monster!C401,卡牌图鉴!$C$2:$C$53,0))</f>
        <v>5</v>
      </c>
      <c r="N401" s="15">
        <f>INDEX(卡牌图鉴!$AD$2:$AD$53,MATCH(monster!C401,卡牌图鉴!$C$2:$C$53,0))</f>
        <v>8</v>
      </c>
      <c r="O401" s="78">
        <f>INDEX(卡牌图鉴!$K$2:$K$53,MATCH(monster!C401,卡牌图鉴!$C$2:$C$53,0))</f>
        <v>5</v>
      </c>
    </row>
    <row r="402" spans="1:15" x14ac:dyDescent="0.15">
      <c r="A402" s="31">
        <v>1366</v>
      </c>
      <c r="B402" s="31" t="s">
        <v>428</v>
      </c>
      <c r="C402" s="31">
        <v>1362</v>
      </c>
      <c r="D402" s="15">
        <f>INDEX(卡牌图鉴!$S$2:$S$53,MATCH(monster!C402,卡牌图鉴!$C$2:$C$53,0))</f>
        <v>4</v>
      </c>
      <c r="E402" s="31">
        <v>4</v>
      </c>
      <c r="F402" s="15">
        <f>INT(INDEX(卡牌图鉴!$AB$2:$AB$53,MATCH(monster!C402,卡牌图鉴!$C$2:$C$57,0)) * INDEX(数值规划表!$B$61:$B$71,monster!E402+1) * 血量调整)</f>
        <v>1530</v>
      </c>
      <c r="G402" s="15">
        <f>ROUND(INDEX(卡牌图鉴!$AB$2:$AB$53,MATCH(monster!C402,卡牌图鉴!$C$2:$C$57,0)) * INDEX(数值规划表!$D$61:$D$71,monster!E402+1)*血量调整,2)</f>
        <v>45.93</v>
      </c>
      <c r="H402" s="15">
        <f>ROUND(INDEX(卡牌图鉴!$AA$2:$AA$53,MATCH(monster!C402,卡牌图鉴!$C$2:$C$53,0)) * INDEX(数值规划表!$C$61:$C$71,monster!E402+1),2)</f>
        <v>168.24</v>
      </c>
      <c r="I402" s="15">
        <f>ROUND(INDEX(卡牌图鉴!$AA$2:$AA$53,MATCH(monster!C402,卡牌图鉴!$C$2:$C$53,0)) * INDEX(数值规划表!$E$61:$E$71,monster!E402+1),2)</f>
        <v>5.05</v>
      </c>
      <c r="J402" s="15">
        <f>INDEX(卡牌图鉴!$J$2:$J$53,MATCH(monster!C402,卡牌图鉴!$C$2:$C$53,0))</f>
        <v>1.2</v>
      </c>
      <c r="K402" s="15">
        <f>INDEX(卡牌图鉴!$S$2:$S$53,MATCH(monster!C402,卡牌图鉴!$C$2:$C$53,0))</f>
        <v>4</v>
      </c>
      <c r="L402" s="15">
        <f>INDEX(卡牌图鉴!$H$2:$H$53,MATCH(monster!C402,卡牌图鉴!$C$2:$C$53,0))</f>
        <v>1.1000000000000001</v>
      </c>
      <c r="M402" s="15">
        <f>INDEX(卡牌图鉴!$L$2:$L$53,MATCH(monster!C402,卡牌图鉴!$C$2:$C$53,0))</f>
        <v>5</v>
      </c>
      <c r="N402" s="15">
        <f>INDEX(卡牌图鉴!$AD$2:$AD$53,MATCH(monster!C402,卡牌图鉴!$C$2:$C$53,0))</f>
        <v>8</v>
      </c>
      <c r="O402" s="78">
        <f>INDEX(卡牌图鉴!$K$2:$K$53,MATCH(monster!C402,卡牌图鉴!$C$2:$C$53,0))</f>
        <v>5</v>
      </c>
    </row>
    <row r="403" spans="1:15" x14ac:dyDescent="0.15">
      <c r="A403" s="31">
        <v>1367</v>
      </c>
      <c r="B403" s="31" t="s">
        <v>429</v>
      </c>
      <c r="C403" s="31">
        <v>1362</v>
      </c>
      <c r="D403" s="15">
        <f>INDEX(卡牌图鉴!$S$2:$S$53,MATCH(monster!C403,卡牌图鉴!$C$2:$C$53,0))</f>
        <v>4</v>
      </c>
      <c r="E403" s="31">
        <v>5</v>
      </c>
      <c r="F403" s="15">
        <f>INT(INDEX(卡牌图鉴!$AB$2:$AB$53,MATCH(monster!C403,卡牌图鉴!$C$2:$C$57,0)) * INDEX(数值规划表!$B$61:$B$71,monster!E403+1) * 血量调整)</f>
        <v>1714</v>
      </c>
      <c r="G403" s="15">
        <f>ROUND(INDEX(卡牌图鉴!$AB$2:$AB$53,MATCH(monster!C403,卡牌图鉴!$C$2:$C$57,0)) * INDEX(数值规划表!$D$61:$D$71,monster!E403+1)*血量调整,2)</f>
        <v>51.44</v>
      </c>
      <c r="H403" s="15">
        <f>ROUND(INDEX(卡牌图鉴!$AA$2:$AA$53,MATCH(monster!C403,卡牌图鉴!$C$2:$C$53,0)) * INDEX(数值规划表!$C$61:$C$71,monster!E403+1),2)</f>
        <v>188.43</v>
      </c>
      <c r="I403" s="15">
        <f>ROUND(INDEX(卡牌图鉴!$AA$2:$AA$53,MATCH(monster!C403,卡牌图鉴!$C$2:$C$53,0)) * INDEX(数值规划表!$E$61:$E$71,monster!E403+1),2)</f>
        <v>5.65</v>
      </c>
      <c r="J403" s="15">
        <f>INDEX(卡牌图鉴!$J$2:$J$53,MATCH(monster!C403,卡牌图鉴!$C$2:$C$53,0))</f>
        <v>1.2</v>
      </c>
      <c r="K403" s="15">
        <f>INDEX(卡牌图鉴!$S$2:$S$53,MATCH(monster!C403,卡牌图鉴!$C$2:$C$53,0))</f>
        <v>4</v>
      </c>
      <c r="L403" s="15">
        <f>INDEX(卡牌图鉴!$H$2:$H$53,MATCH(monster!C403,卡牌图鉴!$C$2:$C$53,0))</f>
        <v>1.1000000000000001</v>
      </c>
      <c r="M403" s="15">
        <f>INDEX(卡牌图鉴!$L$2:$L$53,MATCH(monster!C403,卡牌图鉴!$C$2:$C$53,0))</f>
        <v>5</v>
      </c>
      <c r="N403" s="15">
        <f>INDEX(卡牌图鉴!$AD$2:$AD$53,MATCH(monster!C403,卡牌图鉴!$C$2:$C$53,0))</f>
        <v>8</v>
      </c>
      <c r="O403" s="78">
        <f>INDEX(卡牌图鉴!$K$2:$K$53,MATCH(monster!C403,卡牌图鉴!$C$2:$C$53,0))</f>
        <v>5</v>
      </c>
    </row>
    <row r="404" spans="1:15" x14ac:dyDescent="0.15">
      <c r="A404" s="31">
        <v>1368</v>
      </c>
      <c r="B404" s="31" t="s">
        <v>430</v>
      </c>
      <c r="C404" s="31">
        <v>1362</v>
      </c>
      <c r="D404" s="15">
        <f>INDEX(卡牌图鉴!$S$2:$S$53,MATCH(monster!C404,卡牌图鉴!$C$2:$C$53,0))</f>
        <v>4</v>
      </c>
      <c r="E404" s="31">
        <v>6</v>
      </c>
      <c r="F404" s="15">
        <f>INT(INDEX(卡牌图鉴!$AB$2:$AB$53,MATCH(monster!C404,卡牌图鉴!$C$2:$C$57,0)) * INDEX(数值规划表!$B$61:$B$71,monster!E404+1) * 血量调整)</f>
        <v>1920</v>
      </c>
      <c r="G404" s="15">
        <f>ROUND(INDEX(卡牌图鉴!$AB$2:$AB$53,MATCH(monster!C404,卡牌图鉴!$C$2:$C$57,0)) * INDEX(数值规划表!$D$61:$D$71,monster!E404+1)*血量调整,2)</f>
        <v>57.61</v>
      </c>
      <c r="H404" s="15">
        <f>ROUND(INDEX(卡牌图鉴!$AA$2:$AA$53,MATCH(monster!C404,卡牌图鉴!$C$2:$C$53,0)) * INDEX(数值规划表!$C$61:$C$71,monster!E404+1),2)</f>
        <v>211.04</v>
      </c>
      <c r="I404" s="15">
        <f>ROUND(INDEX(卡牌图鉴!$AA$2:$AA$53,MATCH(monster!C404,卡牌图鉴!$C$2:$C$53,0)) * INDEX(数值规划表!$E$61:$E$71,monster!E404+1),2)</f>
        <v>6.33</v>
      </c>
      <c r="J404" s="15">
        <f>INDEX(卡牌图鉴!$J$2:$J$53,MATCH(monster!C404,卡牌图鉴!$C$2:$C$53,0))</f>
        <v>1.2</v>
      </c>
      <c r="K404" s="15">
        <f>INDEX(卡牌图鉴!$S$2:$S$53,MATCH(monster!C404,卡牌图鉴!$C$2:$C$53,0))</f>
        <v>4</v>
      </c>
      <c r="L404" s="15">
        <f>INDEX(卡牌图鉴!$H$2:$H$53,MATCH(monster!C404,卡牌图鉴!$C$2:$C$53,0))</f>
        <v>1.1000000000000001</v>
      </c>
      <c r="M404" s="15">
        <f>INDEX(卡牌图鉴!$L$2:$L$53,MATCH(monster!C404,卡牌图鉴!$C$2:$C$53,0))</f>
        <v>5</v>
      </c>
      <c r="N404" s="15">
        <f>INDEX(卡牌图鉴!$AD$2:$AD$53,MATCH(monster!C404,卡牌图鉴!$C$2:$C$53,0))</f>
        <v>8</v>
      </c>
      <c r="O404" s="78">
        <f>INDEX(卡牌图鉴!$K$2:$K$53,MATCH(monster!C404,卡牌图鉴!$C$2:$C$53,0))</f>
        <v>5</v>
      </c>
    </row>
    <row r="405" spans="1:15" x14ac:dyDescent="0.15">
      <c r="A405" s="31">
        <v>1369</v>
      </c>
      <c r="B405" s="31" t="s">
        <v>431</v>
      </c>
      <c r="C405" s="31">
        <v>1362</v>
      </c>
      <c r="D405" s="15">
        <f>INDEX(卡牌图鉴!$S$2:$S$53,MATCH(monster!C405,卡牌图鉴!$C$2:$C$53,0))</f>
        <v>4</v>
      </c>
      <c r="E405" s="31">
        <v>7</v>
      </c>
      <c r="F405" s="15">
        <f>INT(INDEX(卡牌图鉴!$AB$2:$AB$53,MATCH(monster!C405,卡牌图鉴!$C$2:$C$57,0)) * INDEX(数值规划表!$B$61:$B$71,monster!E405+1) * 血量调整)</f>
        <v>2150</v>
      </c>
      <c r="G405" s="15">
        <f>ROUND(INDEX(卡牌图鉴!$AB$2:$AB$53,MATCH(monster!C405,卡牌图鉴!$C$2:$C$57,0)) * INDEX(数值规划表!$D$61:$D$71,monster!E405+1)*血量调整,2)</f>
        <v>64.52</v>
      </c>
      <c r="H405" s="15">
        <f>ROUND(INDEX(卡牌图鉴!$AA$2:$AA$53,MATCH(monster!C405,卡牌图鉴!$C$2:$C$53,0)) * INDEX(数值规划表!$C$61:$C$71,monster!E405+1),2)</f>
        <v>236.37</v>
      </c>
      <c r="I405" s="15">
        <f>ROUND(INDEX(卡牌图鉴!$AA$2:$AA$53,MATCH(monster!C405,卡牌图鉴!$C$2:$C$53,0)) * INDEX(数值规划表!$E$61:$E$71,monster!E405+1),2)</f>
        <v>7.09</v>
      </c>
      <c r="J405" s="15">
        <f>INDEX(卡牌图鉴!$J$2:$J$53,MATCH(monster!C405,卡牌图鉴!$C$2:$C$53,0))</f>
        <v>1.2</v>
      </c>
      <c r="K405" s="15">
        <f>INDEX(卡牌图鉴!$S$2:$S$53,MATCH(monster!C405,卡牌图鉴!$C$2:$C$53,0))</f>
        <v>4</v>
      </c>
      <c r="L405" s="15">
        <f>INDEX(卡牌图鉴!$H$2:$H$53,MATCH(monster!C405,卡牌图鉴!$C$2:$C$53,0))</f>
        <v>1.1000000000000001</v>
      </c>
      <c r="M405" s="15">
        <f>INDEX(卡牌图鉴!$L$2:$L$53,MATCH(monster!C405,卡牌图鉴!$C$2:$C$53,0))</f>
        <v>5</v>
      </c>
      <c r="N405" s="15">
        <f>INDEX(卡牌图鉴!$AD$2:$AD$53,MATCH(monster!C405,卡牌图鉴!$C$2:$C$53,0))</f>
        <v>8</v>
      </c>
      <c r="O405" s="78">
        <f>INDEX(卡牌图鉴!$K$2:$K$53,MATCH(monster!C405,卡牌图鉴!$C$2:$C$53,0))</f>
        <v>5</v>
      </c>
    </row>
    <row r="406" spans="1:15" x14ac:dyDescent="0.15">
      <c r="A406" s="31">
        <v>1370</v>
      </c>
      <c r="B406" s="31" t="s">
        <v>432</v>
      </c>
      <c r="C406" s="31">
        <v>1362</v>
      </c>
      <c r="D406" s="15">
        <f>INDEX(卡牌图鉴!$S$2:$S$53,MATCH(monster!C406,卡牌图鉴!$C$2:$C$53,0))</f>
        <v>4</v>
      </c>
      <c r="E406" s="31">
        <v>8</v>
      </c>
      <c r="F406" s="15">
        <f>INT(INDEX(卡牌图鉴!$AB$2:$AB$53,MATCH(monster!C406,卡牌图鉴!$C$2:$C$57,0)) * INDEX(数值规划表!$B$61:$B$71,monster!E406+1) * 血量调整)</f>
        <v>2408</v>
      </c>
      <c r="G406" s="15">
        <f>ROUND(INDEX(卡牌图鉴!$AB$2:$AB$53,MATCH(monster!C406,卡牌图鉴!$C$2:$C$57,0)) * INDEX(数值规划表!$D$61:$D$71,monster!E406+1)*血量调整,2)</f>
        <v>72.27</v>
      </c>
      <c r="H406" s="15">
        <f>ROUND(INDEX(卡牌图鉴!$AA$2:$AA$53,MATCH(monster!C406,卡牌图鉴!$C$2:$C$53,0)) * INDEX(数值规划表!$C$61:$C$71,monster!E406+1),2)</f>
        <v>264.73</v>
      </c>
      <c r="I406" s="15">
        <f>ROUND(INDEX(卡牌图鉴!$AA$2:$AA$53,MATCH(monster!C406,卡牌图鉴!$C$2:$C$53,0)) * INDEX(数值规划表!$E$61:$E$71,monster!E406+1),2)</f>
        <v>7.94</v>
      </c>
      <c r="J406" s="15">
        <f>INDEX(卡牌图鉴!$J$2:$J$53,MATCH(monster!C406,卡牌图鉴!$C$2:$C$53,0))</f>
        <v>1.2</v>
      </c>
      <c r="K406" s="15">
        <f>INDEX(卡牌图鉴!$S$2:$S$53,MATCH(monster!C406,卡牌图鉴!$C$2:$C$53,0))</f>
        <v>4</v>
      </c>
      <c r="L406" s="15">
        <f>INDEX(卡牌图鉴!$H$2:$H$53,MATCH(monster!C406,卡牌图鉴!$C$2:$C$53,0))</f>
        <v>1.1000000000000001</v>
      </c>
      <c r="M406" s="15">
        <f>INDEX(卡牌图鉴!$L$2:$L$53,MATCH(monster!C406,卡牌图鉴!$C$2:$C$53,0))</f>
        <v>5</v>
      </c>
      <c r="N406" s="15">
        <f>INDEX(卡牌图鉴!$AD$2:$AD$53,MATCH(monster!C406,卡牌图鉴!$C$2:$C$53,0))</f>
        <v>8</v>
      </c>
      <c r="O406" s="78">
        <f>INDEX(卡牌图鉴!$K$2:$K$53,MATCH(monster!C406,卡牌图鉴!$C$2:$C$53,0))</f>
        <v>5</v>
      </c>
    </row>
    <row r="407" spans="1:15" x14ac:dyDescent="0.15">
      <c r="A407" s="31">
        <v>1371</v>
      </c>
      <c r="B407" s="31" t="s">
        <v>433</v>
      </c>
      <c r="C407" s="31">
        <v>1362</v>
      </c>
      <c r="D407" s="15">
        <f>INDEX(卡牌图鉴!$S$2:$S$53,MATCH(monster!C407,卡牌图鉴!$C$2:$C$53,0))</f>
        <v>4</v>
      </c>
      <c r="E407" s="31">
        <v>9</v>
      </c>
      <c r="F407" s="15">
        <f>INT(INDEX(卡牌图鉴!$AB$2:$AB$53,MATCH(monster!C407,卡牌图鉴!$C$2:$C$57,0)) * INDEX(数值规划表!$B$61:$B$71,monster!E407+1) * 血量调整)</f>
        <v>2697</v>
      </c>
      <c r="G407" s="15">
        <f>ROUND(INDEX(卡牌图鉴!$AB$2:$AB$53,MATCH(monster!C407,卡牌图鉴!$C$2:$C$57,0)) * INDEX(数值规划表!$D$61:$D$71,monster!E407+1)*血量调整,2)</f>
        <v>80.94</v>
      </c>
      <c r="H407" s="15">
        <f>ROUND(INDEX(卡牌图鉴!$AA$2:$AA$53,MATCH(monster!C407,卡牌图鉴!$C$2:$C$53,0)) * INDEX(数值规划表!$C$61:$C$71,monster!E407+1),2)</f>
        <v>296.5</v>
      </c>
      <c r="I407" s="15">
        <f>ROUND(INDEX(卡牌图鉴!$AA$2:$AA$53,MATCH(monster!C407,卡牌图鉴!$C$2:$C$53,0)) * INDEX(数值规划表!$E$61:$E$71,monster!E407+1),2)</f>
        <v>8.89</v>
      </c>
      <c r="J407" s="15">
        <f>INDEX(卡牌图鉴!$J$2:$J$53,MATCH(monster!C407,卡牌图鉴!$C$2:$C$53,0))</f>
        <v>1.2</v>
      </c>
      <c r="K407" s="15">
        <f>INDEX(卡牌图鉴!$S$2:$S$53,MATCH(monster!C407,卡牌图鉴!$C$2:$C$53,0))</f>
        <v>4</v>
      </c>
      <c r="L407" s="15">
        <f>INDEX(卡牌图鉴!$H$2:$H$53,MATCH(monster!C407,卡牌图鉴!$C$2:$C$53,0))</f>
        <v>1.1000000000000001</v>
      </c>
      <c r="M407" s="15">
        <f>INDEX(卡牌图鉴!$L$2:$L$53,MATCH(monster!C407,卡牌图鉴!$C$2:$C$53,0))</f>
        <v>5</v>
      </c>
      <c r="N407" s="15">
        <f>INDEX(卡牌图鉴!$AD$2:$AD$53,MATCH(monster!C407,卡牌图鉴!$C$2:$C$53,0))</f>
        <v>8</v>
      </c>
      <c r="O407" s="78">
        <f>INDEX(卡牌图鉴!$K$2:$K$53,MATCH(monster!C407,卡牌图鉴!$C$2:$C$53,0))</f>
        <v>5</v>
      </c>
    </row>
    <row r="408" spans="1:15" x14ac:dyDescent="0.15">
      <c r="A408" s="31">
        <v>1372</v>
      </c>
      <c r="B408" s="31" t="s">
        <v>434</v>
      </c>
      <c r="C408" s="31">
        <v>1362</v>
      </c>
      <c r="D408" s="15">
        <f>INDEX(卡牌图鉴!$S$2:$S$53,MATCH(monster!C408,卡牌图鉴!$C$2:$C$53,0))</f>
        <v>4</v>
      </c>
      <c r="E408" s="31">
        <v>10</v>
      </c>
      <c r="F408" s="15">
        <f>INT(INDEX(卡牌图鉴!$AB$2:$AB$53,MATCH(monster!C408,卡牌图鉴!$C$2:$C$57,0)) * INDEX(数值规划表!$B$61:$B$71,monster!E408+1) * 血量调整)</f>
        <v>3021</v>
      </c>
      <c r="G408" s="15">
        <f>ROUND(INDEX(卡牌图鉴!$AB$2:$AB$53,MATCH(monster!C408,卡牌图鉴!$C$2:$C$57,0)) * INDEX(数值规划表!$D$61:$D$71,monster!E408+1)*血量调整,2)</f>
        <v>90.65</v>
      </c>
      <c r="H408" s="15">
        <f>ROUND(INDEX(卡牌图鉴!$AA$2:$AA$53,MATCH(monster!C408,卡牌图鉴!$C$2:$C$53,0)) * INDEX(数值规划表!$C$61:$C$71,monster!E408+1),2)</f>
        <v>332.08</v>
      </c>
      <c r="I408" s="15">
        <f>ROUND(INDEX(卡牌图鉴!$AA$2:$AA$53,MATCH(monster!C408,卡牌图鉴!$C$2:$C$53,0)) * INDEX(数值规划表!$E$61:$E$71,monster!E408+1),2)</f>
        <v>9.9600000000000009</v>
      </c>
      <c r="J408" s="15">
        <f>INDEX(卡牌图鉴!$J$2:$J$53,MATCH(monster!C408,卡牌图鉴!$C$2:$C$53,0))</f>
        <v>1.2</v>
      </c>
      <c r="K408" s="15">
        <f>INDEX(卡牌图鉴!$S$2:$S$53,MATCH(monster!C408,卡牌图鉴!$C$2:$C$53,0))</f>
        <v>4</v>
      </c>
      <c r="L408" s="15">
        <f>INDEX(卡牌图鉴!$H$2:$H$53,MATCH(monster!C408,卡牌图鉴!$C$2:$C$53,0))</f>
        <v>1.1000000000000001</v>
      </c>
      <c r="M408" s="15">
        <f>INDEX(卡牌图鉴!$L$2:$L$53,MATCH(monster!C408,卡牌图鉴!$C$2:$C$53,0))</f>
        <v>5</v>
      </c>
      <c r="N408" s="15">
        <f>INDEX(卡牌图鉴!$AD$2:$AD$53,MATCH(monster!C408,卡牌图鉴!$C$2:$C$53,0))</f>
        <v>8</v>
      </c>
      <c r="O408" s="78">
        <f>INDEX(卡牌图鉴!$K$2:$K$53,MATCH(monster!C408,卡牌图鉴!$C$2:$C$53,0))</f>
        <v>5</v>
      </c>
    </row>
    <row r="409" spans="1:15" x14ac:dyDescent="0.15">
      <c r="A409" s="31">
        <v>1034</v>
      </c>
      <c r="B409" s="31" t="s">
        <v>1374</v>
      </c>
      <c r="C409" s="31">
        <v>1034</v>
      </c>
      <c r="D409" s="15">
        <f>INDEX(卡牌图鉴!$S$2:$S$53,MATCH(monster!C409,卡牌图鉴!$C$2:$C$53,0))</f>
        <v>1</v>
      </c>
      <c r="E409" s="31">
        <v>0</v>
      </c>
      <c r="F409" s="15">
        <f>INT(INDEX(卡牌图鉴!$AB$2:$AB$53,MATCH(monster!C409,卡牌图鉴!$C$2:$C$57,0)) * INDEX(数值规划表!$B$61:$B$71,monster!E409+1) * 血量调整)</f>
        <v>237</v>
      </c>
      <c r="G409" s="15">
        <f>ROUND(INDEX(卡牌图鉴!$AB$2:$AB$53,MATCH(monster!C409,卡牌图鉴!$C$2:$C$57,0)) * INDEX(数值规划表!$D$61:$D$71,monster!E409+1)*血量调整,2)</f>
        <v>7.13</v>
      </c>
      <c r="H409" s="15">
        <f>ROUND(INDEX(卡牌图鉴!$AA$2:$AA$53,MATCH(monster!C409,卡牌图鉴!$C$2:$C$53,0)) * INDEX(数值规划表!$C$61:$C$71,monster!E409+1),2)</f>
        <v>29.78</v>
      </c>
      <c r="I409" s="15">
        <f>ROUND(INDEX(卡牌图鉴!$AA$2:$AA$53,MATCH(monster!C409,卡牌图鉴!$C$2:$C$53,0)) * INDEX(数值规划表!$E$61:$E$71,monster!E409+1),2)</f>
        <v>0.89</v>
      </c>
      <c r="J409" s="15">
        <f>INDEX(卡牌图鉴!$J$2:$J$53,MATCH(monster!C409,卡牌图鉴!$C$2:$C$53,0))</f>
        <v>6.5</v>
      </c>
      <c r="K409" s="15">
        <f>INDEX(卡牌图鉴!$S$2:$S$53,MATCH(monster!C409,卡牌图鉴!$C$2:$C$53,0))</f>
        <v>1</v>
      </c>
      <c r="L409" s="15">
        <f>INDEX(卡牌图鉴!$H$2:$H$53,MATCH(monster!C409,卡牌图鉴!$C$2:$C$53,0))</f>
        <v>1.1000000000000001</v>
      </c>
      <c r="M409" s="15">
        <f>INDEX(卡牌图鉴!$L$2:$L$53,MATCH(monster!C409,卡牌图鉴!$C$2:$C$53,0))</f>
        <v>4</v>
      </c>
      <c r="N409" s="15">
        <f>INDEX(卡牌图鉴!$AD$2:$AD$53,MATCH(monster!C409,卡牌图鉴!$C$2:$C$53,0))</f>
        <v>8</v>
      </c>
      <c r="O409" s="78">
        <f>INDEX(卡牌图鉴!$K$2:$K$53,MATCH(monster!C409,卡牌图鉴!$C$2:$C$53,0))</f>
        <v>4</v>
      </c>
    </row>
    <row r="410" spans="1:15" x14ac:dyDescent="0.15">
      <c r="A410" s="31">
        <v>1035</v>
      </c>
      <c r="B410" s="31" t="s">
        <v>1375</v>
      </c>
      <c r="C410" s="31">
        <v>1034</v>
      </c>
      <c r="D410" s="15">
        <f>INDEX(卡牌图鉴!$S$2:$S$53,MATCH(monster!C410,卡牌图鉴!$C$2:$C$53,0))</f>
        <v>1</v>
      </c>
      <c r="E410" s="31">
        <v>1</v>
      </c>
      <c r="F410" s="15">
        <f>INT(INDEX(卡牌图鉴!$AB$2:$AB$53,MATCH(monster!C410,卡牌图鉴!$C$2:$C$57,0)) * INDEX(数值规划表!$B$61:$B$71,monster!E410+1) * 血量调整)</f>
        <v>266</v>
      </c>
      <c r="G410" s="15">
        <f>ROUND(INDEX(卡牌图鉴!$AB$2:$AB$53,MATCH(monster!C410,卡牌图鉴!$C$2:$C$57,0)) * INDEX(数值规划表!$D$61:$D$71,monster!E410+1)*血量调整,2)</f>
        <v>7.99</v>
      </c>
      <c r="H410" s="15">
        <f>ROUND(INDEX(卡牌图鉴!$AA$2:$AA$53,MATCH(monster!C410,卡牌图鉴!$C$2:$C$53,0)) * INDEX(数值规划表!$C$61:$C$71,monster!E410+1),2)</f>
        <v>33.35</v>
      </c>
      <c r="I410" s="15">
        <f>ROUND(INDEX(卡牌图鉴!$AA$2:$AA$53,MATCH(monster!C410,卡牌图鉴!$C$2:$C$53,0)) * INDEX(数值规划表!$E$61:$E$71,monster!E410+1),2)</f>
        <v>1</v>
      </c>
      <c r="J410" s="15">
        <f>INDEX(卡牌图鉴!$J$2:$J$53,MATCH(monster!C410,卡牌图鉴!$C$2:$C$53,0))</f>
        <v>6.5</v>
      </c>
      <c r="K410" s="15">
        <f>INDEX(卡牌图鉴!$S$2:$S$53,MATCH(monster!C410,卡牌图鉴!$C$2:$C$53,0))</f>
        <v>1</v>
      </c>
      <c r="L410" s="15">
        <f>INDEX(卡牌图鉴!$H$2:$H$53,MATCH(monster!C410,卡牌图鉴!$C$2:$C$53,0))</f>
        <v>1.1000000000000001</v>
      </c>
      <c r="M410" s="15">
        <f>INDEX(卡牌图鉴!$L$2:$L$53,MATCH(monster!C410,卡牌图鉴!$C$2:$C$53,0))</f>
        <v>4</v>
      </c>
      <c r="N410" s="15">
        <f>INDEX(卡牌图鉴!$AD$2:$AD$53,MATCH(monster!C410,卡牌图鉴!$C$2:$C$53,0))</f>
        <v>8</v>
      </c>
      <c r="O410" s="78">
        <f>INDEX(卡牌图鉴!$K$2:$K$53,MATCH(monster!C410,卡牌图鉴!$C$2:$C$53,0))</f>
        <v>4</v>
      </c>
    </row>
    <row r="411" spans="1:15" x14ac:dyDescent="0.15">
      <c r="A411" s="31">
        <v>1036</v>
      </c>
      <c r="B411" s="31" t="s">
        <v>178</v>
      </c>
      <c r="C411" s="31">
        <v>1034</v>
      </c>
      <c r="D411" s="15">
        <f>INDEX(卡牌图鉴!$S$2:$S$53,MATCH(monster!C411,卡牌图鉴!$C$2:$C$53,0))</f>
        <v>1</v>
      </c>
      <c r="E411" s="31">
        <v>2</v>
      </c>
      <c r="F411" s="15">
        <f>INT(INDEX(卡牌图鉴!$AB$2:$AB$53,MATCH(monster!C411,卡牌图鉴!$C$2:$C$57,0)) * INDEX(数值规划表!$B$61:$B$71,monster!E411+1) * 血量调整)</f>
        <v>298</v>
      </c>
      <c r="G411" s="15">
        <f>ROUND(INDEX(卡牌图鉴!$AB$2:$AB$53,MATCH(monster!C411,卡牌图鉴!$C$2:$C$57,0)) * INDEX(数值规划表!$D$61:$D$71,monster!E411+1)*血量调整,2)</f>
        <v>8.94</v>
      </c>
      <c r="H411" s="15">
        <f>ROUND(INDEX(卡牌图鉴!$AA$2:$AA$53,MATCH(monster!C411,卡牌图鉴!$C$2:$C$53,0)) * INDEX(数值规划表!$C$61:$C$71,monster!E411+1),2)</f>
        <v>37.36</v>
      </c>
      <c r="I411" s="15">
        <f>ROUND(INDEX(卡牌图鉴!$AA$2:$AA$53,MATCH(monster!C411,卡牌图鉴!$C$2:$C$53,0)) * INDEX(数值规划表!$E$61:$E$71,monster!E411+1),2)</f>
        <v>1.1200000000000001</v>
      </c>
      <c r="J411" s="15">
        <f>INDEX(卡牌图鉴!$J$2:$J$53,MATCH(monster!C411,卡牌图鉴!$C$2:$C$53,0))</f>
        <v>6.5</v>
      </c>
      <c r="K411" s="15">
        <f>INDEX(卡牌图鉴!$S$2:$S$53,MATCH(monster!C411,卡牌图鉴!$C$2:$C$53,0))</f>
        <v>1</v>
      </c>
      <c r="L411" s="15">
        <f>INDEX(卡牌图鉴!$H$2:$H$53,MATCH(monster!C411,卡牌图鉴!$C$2:$C$53,0))</f>
        <v>1.1000000000000001</v>
      </c>
      <c r="M411" s="15">
        <f>INDEX(卡牌图鉴!$L$2:$L$53,MATCH(monster!C411,卡牌图鉴!$C$2:$C$53,0))</f>
        <v>4</v>
      </c>
      <c r="N411" s="15">
        <f>INDEX(卡牌图鉴!$AD$2:$AD$53,MATCH(monster!C411,卡牌图鉴!$C$2:$C$53,0))</f>
        <v>8</v>
      </c>
      <c r="O411" s="78">
        <f>INDEX(卡牌图鉴!$K$2:$K$53,MATCH(monster!C411,卡牌图鉴!$C$2:$C$53,0))</f>
        <v>4</v>
      </c>
    </row>
    <row r="412" spans="1:15" x14ac:dyDescent="0.15">
      <c r="A412" s="31">
        <v>1037</v>
      </c>
      <c r="B412" s="31" t="s">
        <v>179</v>
      </c>
      <c r="C412" s="31">
        <v>1034</v>
      </c>
      <c r="D412" s="15">
        <f>INDEX(卡牌图鉴!$S$2:$S$53,MATCH(monster!C412,卡牌图鉴!$C$2:$C$53,0))</f>
        <v>1</v>
      </c>
      <c r="E412" s="31">
        <v>3</v>
      </c>
      <c r="F412" s="15">
        <f>INT(INDEX(卡牌图鉴!$AB$2:$AB$53,MATCH(monster!C412,卡牌图鉴!$C$2:$C$57,0)) * INDEX(数值规划表!$B$61:$B$71,monster!E412+1) * 血量调整)</f>
        <v>333</v>
      </c>
      <c r="G412" s="15">
        <f>ROUND(INDEX(卡牌图鉴!$AB$2:$AB$53,MATCH(monster!C412,卡牌图鉴!$C$2:$C$57,0)) * INDEX(数值规划表!$D$61:$D$71,monster!E412+1)*血量调整,2)</f>
        <v>10.02</v>
      </c>
      <c r="H412" s="15">
        <f>ROUND(INDEX(卡牌图鉴!$AA$2:$AA$53,MATCH(monster!C412,卡牌图鉴!$C$2:$C$53,0)) * INDEX(数值规划表!$C$61:$C$71,monster!E412+1),2)</f>
        <v>41.84</v>
      </c>
      <c r="I412" s="15">
        <f>ROUND(INDEX(卡牌图鉴!$AA$2:$AA$53,MATCH(monster!C412,卡牌图鉴!$C$2:$C$53,0)) * INDEX(数值规划表!$E$61:$E$71,monster!E412+1),2)</f>
        <v>1.26</v>
      </c>
      <c r="J412" s="15">
        <f>INDEX(卡牌图鉴!$J$2:$J$53,MATCH(monster!C412,卡牌图鉴!$C$2:$C$53,0))</f>
        <v>6.5</v>
      </c>
      <c r="K412" s="15">
        <f>INDEX(卡牌图鉴!$S$2:$S$53,MATCH(monster!C412,卡牌图鉴!$C$2:$C$53,0))</f>
        <v>1</v>
      </c>
      <c r="L412" s="15">
        <f>INDEX(卡牌图鉴!$H$2:$H$53,MATCH(monster!C412,卡牌图鉴!$C$2:$C$53,0))</f>
        <v>1.1000000000000001</v>
      </c>
      <c r="M412" s="15">
        <f>INDEX(卡牌图鉴!$L$2:$L$53,MATCH(monster!C412,卡牌图鉴!$C$2:$C$53,0))</f>
        <v>4</v>
      </c>
      <c r="N412" s="15">
        <f>INDEX(卡牌图鉴!$AD$2:$AD$53,MATCH(monster!C412,卡牌图鉴!$C$2:$C$53,0))</f>
        <v>8</v>
      </c>
      <c r="O412" s="78">
        <f>INDEX(卡牌图鉴!$K$2:$K$53,MATCH(monster!C412,卡牌图鉴!$C$2:$C$53,0))</f>
        <v>4</v>
      </c>
    </row>
    <row r="413" spans="1:15" x14ac:dyDescent="0.15">
      <c r="A413" s="31">
        <v>1038</v>
      </c>
      <c r="B413" s="31" t="s">
        <v>180</v>
      </c>
      <c r="C413" s="31">
        <v>1034</v>
      </c>
      <c r="D413" s="15">
        <f>INDEX(卡牌图鉴!$S$2:$S$53,MATCH(monster!C413,卡牌图鉴!$C$2:$C$53,0))</f>
        <v>1</v>
      </c>
      <c r="E413" s="31">
        <v>4</v>
      </c>
      <c r="F413" s="15">
        <f>INT(INDEX(卡牌图鉴!$AB$2:$AB$53,MATCH(monster!C413,卡牌图鉴!$C$2:$C$57,0)) * INDEX(数值规划表!$B$61:$B$71,monster!E413+1) * 血量调整)</f>
        <v>374</v>
      </c>
      <c r="G413" s="15">
        <f>ROUND(INDEX(卡牌图鉴!$AB$2:$AB$53,MATCH(monster!C413,卡牌图鉴!$C$2:$C$57,0)) * INDEX(数值规划表!$D$61:$D$71,monster!E413+1)*血量调整,2)</f>
        <v>11.22</v>
      </c>
      <c r="H413" s="15">
        <f>ROUND(INDEX(卡牌图鉴!$AA$2:$AA$53,MATCH(monster!C413,卡牌图鉴!$C$2:$C$53,0)) * INDEX(数值规划表!$C$61:$C$71,monster!E413+1),2)</f>
        <v>46.86</v>
      </c>
      <c r="I413" s="15">
        <f>ROUND(INDEX(卡牌图鉴!$AA$2:$AA$53,MATCH(monster!C413,卡牌图鉴!$C$2:$C$53,0)) * INDEX(数值规划表!$E$61:$E$71,monster!E413+1),2)</f>
        <v>1.41</v>
      </c>
      <c r="J413" s="15">
        <f>INDEX(卡牌图鉴!$J$2:$J$53,MATCH(monster!C413,卡牌图鉴!$C$2:$C$53,0))</f>
        <v>6.5</v>
      </c>
      <c r="K413" s="15">
        <f>INDEX(卡牌图鉴!$S$2:$S$53,MATCH(monster!C413,卡牌图鉴!$C$2:$C$53,0))</f>
        <v>1</v>
      </c>
      <c r="L413" s="15">
        <f>INDEX(卡牌图鉴!$H$2:$H$53,MATCH(monster!C413,卡牌图鉴!$C$2:$C$53,0))</f>
        <v>1.1000000000000001</v>
      </c>
      <c r="M413" s="15">
        <f>INDEX(卡牌图鉴!$L$2:$L$53,MATCH(monster!C413,卡牌图鉴!$C$2:$C$53,0))</f>
        <v>4</v>
      </c>
      <c r="N413" s="15">
        <f>INDEX(卡牌图鉴!$AD$2:$AD$53,MATCH(monster!C413,卡牌图鉴!$C$2:$C$53,0))</f>
        <v>8</v>
      </c>
      <c r="O413" s="78">
        <f>INDEX(卡牌图鉴!$K$2:$K$53,MATCH(monster!C413,卡牌图鉴!$C$2:$C$53,0))</f>
        <v>4</v>
      </c>
    </row>
    <row r="414" spans="1:15" x14ac:dyDescent="0.15">
      <c r="A414" s="31">
        <v>1039</v>
      </c>
      <c r="B414" s="31" t="s">
        <v>181</v>
      </c>
      <c r="C414" s="31">
        <v>1034</v>
      </c>
      <c r="D414" s="15">
        <f>INDEX(卡牌图鉴!$S$2:$S$53,MATCH(monster!C414,卡牌图鉴!$C$2:$C$53,0))</f>
        <v>1</v>
      </c>
      <c r="E414" s="31">
        <v>5</v>
      </c>
      <c r="F414" s="15">
        <f>INT(INDEX(卡牌图鉴!$AB$2:$AB$53,MATCH(monster!C414,卡牌图鉴!$C$2:$C$57,0)) * INDEX(数值规划表!$B$61:$B$71,monster!E414+1) * 血量调整)</f>
        <v>418</v>
      </c>
      <c r="G414" s="15">
        <f>ROUND(INDEX(卡牌图鉴!$AB$2:$AB$53,MATCH(monster!C414,卡牌图鉴!$C$2:$C$57,0)) * INDEX(数值规划表!$D$61:$D$71,monster!E414+1)*血量调整,2)</f>
        <v>12.57</v>
      </c>
      <c r="H414" s="15">
        <f>ROUND(INDEX(卡牌图鉴!$AA$2:$AA$53,MATCH(monster!C414,卡牌图鉴!$C$2:$C$53,0)) * INDEX(数值规划表!$C$61:$C$71,monster!E414+1),2)</f>
        <v>52.48</v>
      </c>
      <c r="I414" s="15">
        <f>ROUND(INDEX(卡牌图鉴!$AA$2:$AA$53,MATCH(monster!C414,卡牌图鉴!$C$2:$C$53,0)) * INDEX(数值规划表!$E$61:$E$71,monster!E414+1),2)</f>
        <v>1.57</v>
      </c>
      <c r="J414" s="15">
        <f>INDEX(卡牌图鉴!$J$2:$J$53,MATCH(monster!C414,卡牌图鉴!$C$2:$C$53,0))</f>
        <v>6.5</v>
      </c>
      <c r="K414" s="15">
        <f>INDEX(卡牌图鉴!$S$2:$S$53,MATCH(monster!C414,卡牌图鉴!$C$2:$C$53,0))</f>
        <v>1</v>
      </c>
      <c r="L414" s="15">
        <f>INDEX(卡牌图鉴!$H$2:$H$53,MATCH(monster!C414,卡牌图鉴!$C$2:$C$53,0))</f>
        <v>1.1000000000000001</v>
      </c>
      <c r="M414" s="15">
        <f>INDEX(卡牌图鉴!$L$2:$L$53,MATCH(monster!C414,卡牌图鉴!$C$2:$C$53,0))</f>
        <v>4</v>
      </c>
      <c r="N414" s="15">
        <f>INDEX(卡牌图鉴!$AD$2:$AD$53,MATCH(monster!C414,卡牌图鉴!$C$2:$C$53,0))</f>
        <v>8</v>
      </c>
      <c r="O414" s="78">
        <f>INDEX(卡牌图鉴!$K$2:$K$53,MATCH(monster!C414,卡牌图鉴!$C$2:$C$53,0))</f>
        <v>4</v>
      </c>
    </row>
    <row r="415" spans="1:15" x14ac:dyDescent="0.15">
      <c r="A415" s="31">
        <v>1040</v>
      </c>
      <c r="B415" s="31" t="s">
        <v>182</v>
      </c>
      <c r="C415" s="31">
        <v>1034</v>
      </c>
      <c r="D415" s="15">
        <f>INDEX(卡牌图鉴!$S$2:$S$53,MATCH(monster!C415,卡牌图鉴!$C$2:$C$53,0))</f>
        <v>1</v>
      </c>
      <c r="E415" s="31">
        <v>6</v>
      </c>
      <c r="F415" s="15">
        <f>INT(INDEX(卡牌图鉴!$AB$2:$AB$53,MATCH(monster!C415,卡牌图鉴!$C$2:$C$57,0)) * INDEX(数值规划表!$B$61:$B$71,monster!E415+1) * 血量调整)</f>
        <v>469</v>
      </c>
      <c r="G415" s="15">
        <f>ROUND(INDEX(卡牌图鉴!$AB$2:$AB$53,MATCH(monster!C415,卡牌图鉴!$C$2:$C$57,0)) * INDEX(数值规划表!$D$61:$D$71,monster!E415+1)*血量调整,2)</f>
        <v>14.07</v>
      </c>
      <c r="H415" s="15">
        <f>ROUND(INDEX(卡牌图鉴!$AA$2:$AA$53,MATCH(monster!C415,卡牌图鉴!$C$2:$C$53,0)) * INDEX(数值规划表!$C$61:$C$71,monster!E415+1),2)</f>
        <v>58.78</v>
      </c>
      <c r="I415" s="15">
        <f>ROUND(INDEX(卡牌图鉴!$AA$2:$AA$53,MATCH(monster!C415,卡牌图鉴!$C$2:$C$53,0)) * INDEX(数值规划表!$E$61:$E$71,monster!E415+1),2)</f>
        <v>1.76</v>
      </c>
      <c r="J415" s="15">
        <f>INDEX(卡牌图鉴!$J$2:$J$53,MATCH(monster!C415,卡牌图鉴!$C$2:$C$53,0))</f>
        <v>6.5</v>
      </c>
      <c r="K415" s="15">
        <f>INDEX(卡牌图鉴!$S$2:$S$53,MATCH(monster!C415,卡牌图鉴!$C$2:$C$53,0))</f>
        <v>1</v>
      </c>
      <c r="L415" s="15">
        <f>INDEX(卡牌图鉴!$H$2:$H$53,MATCH(monster!C415,卡牌图鉴!$C$2:$C$53,0))</f>
        <v>1.1000000000000001</v>
      </c>
      <c r="M415" s="15">
        <f>INDEX(卡牌图鉴!$L$2:$L$53,MATCH(monster!C415,卡牌图鉴!$C$2:$C$53,0))</f>
        <v>4</v>
      </c>
      <c r="N415" s="15">
        <f>INDEX(卡牌图鉴!$AD$2:$AD$53,MATCH(monster!C415,卡牌图鉴!$C$2:$C$53,0))</f>
        <v>8</v>
      </c>
      <c r="O415" s="78">
        <f>INDEX(卡牌图鉴!$K$2:$K$53,MATCH(monster!C415,卡牌图鉴!$C$2:$C$53,0))</f>
        <v>4</v>
      </c>
    </row>
    <row r="416" spans="1:15" x14ac:dyDescent="0.15">
      <c r="A416" s="31">
        <v>1041</v>
      </c>
      <c r="B416" s="31" t="s">
        <v>183</v>
      </c>
      <c r="C416" s="31">
        <v>1034</v>
      </c>
      <c r="D416" s="15">
        <f>INDEX(卡牌图鉴!$S$2:$S$53,MATCH(monster!C416,卡牌图鉴!$C$2:$C$53,0))</f>
        <v>1</v>
      </c>
      <c r="E416" s="31">
        <v>7</v>
      </c>
      <c r="F416" s="15">
        <f>INT(INDEX(卡牌图鉴!$AB$2:$AB$53,MATCH(monster!C416,卡牌图鉴!$C$2:$C$57,0)) * INDEX(数值规划表!$B$61:$B$71,monster!E416+1) * 血量调整)</f>
        <v>525</v>
      </c>
      <c r="G416" s="15">
        <f>ROUND(INDEX(卡牌图鉴!$AB$2:$AB$53,MATCH(monster!C416,卡牌图鉴!$C$2:$C$57,0)) * INDEX(数值规划表!$D$61:$D$71,monster!E416+1)*血量调整,2)</f>
        <v>15.76</v>
      </c>
      <c r="H416" s="15">
        <f>ROUND(INDEX(卡牌图鉴!$AA$2:$AA$53,MATCH(monster!C416,卡牌图鉴!$C$2:$C$53,0)) * INDEX(数值规划表!$C$61:$C$71,monster!E416+1),2)</f>
        <v>65.83</v>
      </c>
      <c r="I416" s="15">
        <f>ROUND(INDEX(卡牌图鉴!$AA$2:$AA$53,MATCH(monster!C416,卡牌图鉴!$C$2:$C$53,0)) * INDEX(数值规划表!$E$61:$E$71,monster!E416+1),2)</f>
        <v>1.98</v>
      </c>
      <c r="J416" s="15">
        <f>INDEX(卡牌图鉴!$J$2:$J$53,MATCH(monster!C416,卡牌图鉴!$C$2:$C$53,0))</f>
        <v>6.5</v>
      </c>
      <c r="K416" s="15">
        <f>INDEX(卡牌图鉴!$S$2:$S$53,MATCH(monster!C416,卡牌图鉴!$C$2:$C$53,0))</f>
        <v>1</v>
      </c>
      <c r="L416" s="15">
        <f>INDEX(卡牌图鉴!$H$2:$H$53,MATCH(monster!C416,卡牌图鉴!$C$2:$C$53,0))</f>
        <v>1.1000000000000001</v>
      </c>
      <c r="M416" s="15">
        <f>INDEX(卡牌图鉴!$L$2:$L$53,MATCH(monster!C416,卡牌图鉴!$C$2:$C$53,0))</f>
        <v>4</v>
      </c>
      <c r="N416" s="15">
        <f>INDEX(卡牌图鉴!$AD$2:$AD$53,MATCH(monster!C416,卡牌图鉴!$C$2:$C$53,0))</f>
        <v>8</v>
      </c>
      <c r="O416" s="78">
        <f>INDEX(卡牌图鉴!$K$2:$K$53,MATCH(monster!C416,卡牌图鉴!$C$2:$C$53,0))</f>
        <v>4</v>
      </c>
    </row>
    <row r="417" spans="1:15" x14ac:dyDescent="0.15">
      <c r="A417" s="31">
        <v>1042</v>
      </c>
      <c r="B417" s="31" t="s">
        <v>184</v>
      </c>
      <c r="C417" s="31">
        <v>1034</v>
      </c>
      <c r="D417" s="15">
        <f>INDEX(卡牌图鉴!$S$2:$S$53,MATCH(monster!C417,卡牌图鉴!$C$2:$C$53,0))</f>
        <v>1</v>
      </c>
      <c r="E417" s="31">
        <v>8</v>
      </c>
      <c r="F417" s="15">
        <f>INT(INDEX(卡牌图鉴!$AB$2:$AB$53,MATCH(monster!C417,卡牌图鉴!$C$2:$C$57,0)) * INDEX(数值规划表!$B$61:$B$71,monster!E417+1) * 血量调整)</f>
        <v>588</v>
      </c>
      <c r="G417" s="15">
        <f>ROUND(INDEX(卡牌图鉴!$AB$2:$AB$53,MATCH(monster!C417,卡牌图鉴!$C$2:$C$57,0)) * INDEX(数值规划表!$D$61:$D$71,monster!E417+1)*血量调整,2)</f>
        <v>17.66</v>
      </c>
      <c r="H417" s="15">
        <f>ROUND(INDEX(卡牌图鉴!$AA$2:$AA$53,MATCH(monster!C417,卡牌图鉴!$C$2:$C$53,0)) * INDEX(数值规划表!$C$61:$C$71,monster!E417+1),2)</f>
        <v>73.73</v>
      </c>
      <c r="I417" s="15">
        <f>ROUND(INDEX(卡牌图鉴!$AA$2:$AA$53,MATCH(monster!C417,卡牌图鉴!$C$2:$C$53,0)) * INDEX(数值规划表!$E$61:$E$71,monster!E417+1),2)</f>
        <v>2.21</v>
      </c>
      <c r="J417" s="15">
        <f>INDEX(卡牌图鉴!$J$2:$J$53,MATCH(monster!C417,卡牌图鉴!$C$2:$C$53,0))</f>
        <v>6.5</v>
      </c>
      <c r="K417" s="15">
        <f>INDEX(卡牌图鉴!$S$2:$S$53,MATCH(monster!C417,卡牌图鉴!$C$2:$C$53,0))</f>
        <v>1</v>
      </c>
      <c r="L417" s="15">
        <f>INDEX(卡牌图鉴!$H$2:$H$53,MATCH(monster!C417,卡牌图鉴!$C$2:$C$53,0))</f>
        <v>1.1000000000000001</v>
      </c>
      <c r="M417" s="15">
        <f>INDEX(卡牌图鉴!$L$2:$L$53,MATCH(monster!C417,卡牌图鉴!$C$2:$C$53,0))</f>
        <v>4</v>
      </c>
      <c r="N417" s="15">
        <f>INDEX(卡牌图鉴!$AD$2:$AD$53,MATCH(monster!C417,卡牌图鉴!$C$2:$C$53,0))</f>
        <v>8</v>
      </c>
      <c r="O417" s="78">
        <f>INDEX(卡牌图鉴!$K$2:$K$53,MATCH(monster!C417,卡牌图鉴!$C$2:$C$53,0))</f>
        <v>4</v>
      </c>
    </row>
    <row r="418" spans="1:15" x14ac:dyDescent="0.15">
      <c r="A418" s="31">
        <v>1043</v>
      </c>
      <c r="B418" s="31" t="s">
        <v>185</v>
      </c>
      <c r="C418" s="31">
        <v>1034</v>
      </c>
      <c r="D418" s="15">
        <f>INDEX(卡牌图鉴!$S$2:$S$53,MATCH(monster!C418,卡牌图鉴!$C$2:$C$53,0))</f>
        <v>1</v>
      </c>
      <c r="E418" s="31">
        <v>9</v>
      </c>
      <c r="F418" s="15">
        <f>INT(INDEX(卡牌图鉴!$AB$2:$AB$53,MATCH(monster!C418,卡牌图鉴!$C$2:$C$57,0)) * INDEX(数值规划表!$B$61:$B$71,monster!E418+1) * 血量调整)</f>
        <v>659</v>
      </c>
      <c r="G418" s="15">
        <f>ROUND(INDEX(卡牌图鉴!$AB$2:$AB$53,MATCH(monster!C418,卡牌图鉴!$C$2:$C$57,0)) * INDEX(数值规划表!$D$61:$D$71,monster!E418+1)*血量调整,2)</f>
        <v>19.77</v>
      </c>
      <c r="H418" s="15">
        <f>ROUND(INDEX(卡牌图鉴!$AA$2:$AA$53,MATCH(monster!C418,卡牌图鉴!$C$2:$C$53,0)) * INDEX(数值规划表!$C$61:$C$71,monster!E418+1),2)</f>
        <v>82.58</v>
      </c>
      <c r="I418" s="15">
        <f>ROUND(INDEX(卡牌图鉴!$AA$2:$AA$53,MATCH(monster!C418,卡牌图鉴!$C$2:$C$53,0)) * INDEX(数值规划表!$E$61:$E$71,monster!E418+1),2)</f>
        <v>2.48</v>
      </c>
      <c r="J418" s="15">
        <f>INDEX(卡牌图鉴!$J$2:$J$53,MATCH(monster!C418,卡牌图鉴!$C$2:$C$53,0))</f>
        <v>6.5</v>
      </c>
      <c r="K418" s="15">
        <f>INDEX(卡牌图鉴!$S$2:$S$53,MATCH(monster!C418,卡牌图鉴!$C$2:$C$53,0))</f>
        <v>1</v>
      </c>
      <c r="L418" s="15">
        <f>INDEX(卡牌图鉴!$H$2:$H$53,MATCH(monster!C418,卡牌图鉴!$C$2:$C$53,0))</f>
        <v>1.1000000000000001</v>
      </c>
      <c r="M418" s="15">
        <f>INDEX(卡牌图鉴!$L$2:$L$53,MATCH(monster!C418,卡牌图鉴!$C$2:$C$53,0))</f>
        <v>4</v>
      </c>
      <c r="N418" s="15">
        <f>INDEX(卡牌图鉴!$AD$2:$AD$53,MATCH(monster!C418,卡牌图鉴!$C$2:$C$53,0))</f>
        <v>8</v>
      </c>
      <c r="O418" s="78">
        <f>INDEX(卡牌图鉴!$K$2:$K$53,MATCH(monster!C418,卡牌图鉴!$C$2:$C$53,0))</f>
        <v>4</v>
      </c>
    </row>
    <row r="419" spans="1:15" x14ac:dyDescent="0.15">
      <c r="A419" s="31">
        <v>1044</v>
      </c>
      <c r="B419" s="31" t="s">
        <v>186</v>
      </c>
      <c r="C419" s="31">
        <v>1034</v>
      </c>
      <c r="D419" s="15">
        <f>INDEX(卡牌图鉴!$S$2:$S$53,MATCH(monster!C419,卡牌图鉴!$C$2:$C$53,0))</f>
        <v>1</v>
      </c>
      <c r="E419" s="31">
        <v>10</v>
      </c>
      <c r="F419" s="15">
        <f>INT(INDEX(卡牌图鉴!$AB$2:$AB$53,MATCH(monster!C419,卡牌图鉴!$C$2:$C$57,0)) * INDEX(数值规划表!$B$61:$B$71,monster!E419+1) * 血量调整)</f>
        <v>738</v>
      </c>
      <c r="G419" s="15">
        <f>ROUND(INDEX(卡牌图鉴!$AB$2:$AB$53,MATCH(monster!C419,卡牌图鉴!$C$2:$C$57,0)) * INDEX(数值规划表!$D$61:$D$71,monster!E419+1)*血量调整,2)</f>
        <v>22.15</v>
      </c>
      <c r="H419" s="15">
        <f>ROUND(INDEX(卡牌图鉴!$AA$2:$AA$53,MATCH(monster!C419,卡牌图鉴!$C$2:$C$53,0)) * INDEX(数值规划表!$C$61:$C$71,monster!E419+1),2)</f>
        <v>92.49</v>
      </c>
      <c r="I419" s="15">
        <f>ROUND(INDEX(卡牌图鉴!$AA$2:$AA$53,MATCH(monster!C419,卡牌图鉴!$C$2:$C$53,0)) * INDEX(数值规划表!$E$61:$E$71,monster!E419+1),2)</f>
        <v>2.77</v>
      </c>
      <c r="J419" s="15">
        <f>INDEX(卡牌图鉴!$J$2:$J$53,MATCH(monster!C419,卡牌图鉴!$C$2:$C$53,0))</f>
        <v>6.5</v>
      </c>
      <c r="K419" s="15">
        <f>INDEX(卡牌图鉴!$S$2:$S$53,MATCH(monster!C419,卡牌图鉴!$C$2:$C$53,0))</f>
        <v>1</v>
      </c>
      <c r="L419" s="15">
        <f>INDEX(卡牌图鉴!$H$2:$H$53,MATCH(monster!C419,卡牌图鉴!$C$2:$C$53,0))</f>
        <v>1.1000000000000001</v>
      </c>
      <c r="M419" s="15">
        <f>INDEX(卡牌图鉴!$L$2:$L$53,MATCH(monster!C419,卡牌图鉴!$C$2:$C$53,0))</f>
        <v>4</v>
      </c>
      <c r="N419" s="15">
        <f>INDEX(卡牌图鉴!$AD$2:$AD$53,MATCH(monster!C419,卡牌图鉴!$C$2:$C$53,0))</f>
        <v>8</v>
      </c>
      <c r="O419" s="78">
        <f>INDEX(卡牌图鉴!$K$2:$K$53,MATCH(monster!C419,卡牌图鉴!$C$2:$C$53,0))</f>
        <v>4</v>
      </c>
    </row>
    <row r="420" spans="1:15" x14ac:dyDescent="0.15">
      <c r="A420" s="31">
        <v>1140</v>
      </c>
      <c r="B420" s="31" t="s">
        <v>1470</v>
      </c>
      <c r="C420" s="31">
        <v>1140</v>
      </c>
      <c r="D420" s="15">
        <f>INDEX(卡牌图鉴!$S$2:$S$53,MATCH(monster!C420,卡牌图鉴!$C$2:$C$53,0))</f>
        <v>4</v>
      </c>
      <c r="E420" s="31">
        <v>0</v>
      </c>
      <c r="F420" s="15">
        <f>INT(INDEX(卡牌图鉴!$AB$2:$AB$53,MATCH(monster!C420,卡牌图鉴!$C$2:$C$57,0)) * INDEX(数值规划表!$B$61:$B$71,monster!E420+1) * 血量调整)</f>
        <v>500</v>
      </c>
      <c r="G420" s="15">
        <f>ROUND(INDEX(卡牌图鉴!$AB$2:$AB$53,MATCH(monster!C420,卡牌图鉴!$C$2:$C$57,0)) * INDEX(数值规划表!$D$61:$D$71,monster!E420+1)*血量调整,2)</f>
        <v>15.02</v>
      </c>
      <c r="H420" s="15">
        <f>ROUND(INDEX(卡牌图鉴!$AA$2:$AA$53,MATCH(monster!C420,卡牌图鉴!$C$2:$C$53,0)) * INDEX(数值规划表!$C$61:$C$71,monster!E420+1),2)</f>
        <v>83.72</v>
      </c>
      <c r="I420" s="15">
        <f>ROUND(INDEX(卡牌图鉴!$AA$2:$AA$53,MATCH(monster!C420,卡牌图鉴!$C$2:$C$53,0)) * INDEX(数值规划表!$E$61:$E$71,monster!E420+1),2)</f>
        <v>2.5099999999999998</v>
      </c>
      <c r="J420" s="15">
        <f>INDEX(卡牌图鉴!$J$2:$J$53,MATCH(monster!C420,卡牌图鉴!$C$2:$C$53,0))</f>
        <v>1.2</v>
      </c>
      <c r="K420" s="15">
        <f>INDEX(卡牌图鉴!$S$2:$S$53,MATCH(monster!C420,卡牌图鉴!$C$2:$C$53,0))</f>
        <v>4</v>
      </c>
      <c r="L420" s="15">
        <f>INDEX(卡牌图鉴!$H$2:$H$53,MATCH(monster!C420,卡牌图鉴!$C$2:$C$53,0))</f>
        <v>1.4</v>
      </c>
      <c r="M420" s="15">
        <f>INDEX(卡牌图鉴!$L$2:$L$53,MATCH(monster!C420,卡牌图鉴!$C$2:$C$53,0))</f>
        <v>4</v>
      </c>
      <c r="N420" s="15">
        <f>INDEX(卡牌图鉴!$AD$2:$AD$53,MATCH(monster!C420,卡牌图鉴!$C$2:$C$53,0))</f>
        <v>8</v>
      </c>
      <c r="O420" s="78">
        <f>INDEX(卡牌图鉴!$K$2:$K$53,MATCH(monster!C420,卡牌图鉴!$C$2:$C$53,0))</f>
        <v>4</v>
      </c>
    </row>
    <row r="421" spans="1:15" x14ac:dyDescent="0.15">
      <c r="A421" s="31">
        <v>1141</v>
      </c>
      <c r="B421" s="31" t="s">
        <v>1471</v>
      </c>
      <c r="C421" s="31">
        <v>1140</v>
      </c>
      <c r="D421" s="15">
        <f>INDEX(卡牌图鉴!$S$2:$S$53,MATCH(monster!C421,卡牌图鉴!$C$2:$C$53,0))</f>
        <v>4</v>
      </c>
      <c r="E421" s="31">
        <v>1</v>
      </c>
      <c r="F421" s="15">
        <f>INT(INDEX(卡牌图鉴!$AB$2:$AB$53,MATCH(monster!C421,卡牌图鉴!$C$2:$C$57,0)) * INDEX(数值规划表!$B$61:$B$71,monster!E421+1) * 血量调整)</f>
        <v>560</v>
      </c>
      <c r="G421" s="15">
        <f>ROUND(INDEX(卡牌图鉴!$AB$2:$AB$53,MATCH(monster!C421,卡牌图鉴!$C$2:$C$57,0)) * INDEX(数值规划表!$D$61:$D$71,monster!E421+1)*血量调整,2)</f>
        <v>16.82</v>
      </c>
      <c r="H421" s="15">
        <f>ROUND(INDEX(卡牌图鉴!$AA$2:$AA$53,MATCH(monster!C421,卡牌图鉴!$C$2:$C$53,0)) * INDEX(数值规划表!$C$61:$C$71,monster!E421+1),2)</f>
        <v>93.77</v>
      </c>
      <c r="I421" s="15">
        <f>ROUND(INDEX(卡牌图鉴!$AA$2:$AA$53,MATCH(monster!C421,卡牌图鉴!$C$2:$C$53,0)) * INDEX(数值规划表!$E$61:$E$71,monster!E421+1),2)</f>
        <v>2.81</v>
      </c>
      <c r="J421" s="15">
        <f>INDEX(卡牌图鉴!$J$2:$J$53,MATCH(monster!C421,卡牌图鉴!$C$2:$C$53,0))</f>
        <v>1.2</v>
      </c>
      <c r="K421" s="15">
        <f>INDEX(卡牌图鉴!$S$2:$S$53,MATCH(monster!C421,卡牌图鉴!$C$2:$C$53,0))</f>
        <v>4</v>
      </c>
      <c r="L421" s="15">
        <f>INDEX(卡牌图鉴!$H$2:$H$53,MATCH(monster!C421,卡牌图鉴!$C$2:$C$53,0))</f>
        <v>1.4</v>
      </c>
      <c r="M421" s="15">
        <f>INDEX(卡牌图鉴!$L$2:$L$53,MATCH(monster!C421,卡牌图鉴!$C$2:$C$53,0))</f>
        <v>4</v>
      </c>
      <c r="N421" s="15">
        <f>INDEX(卡牌图鉴!$AD$2:$AD$53,MATCH(monster!C421,卡牌图鉴!$C$2:$C$53,0))</f>
        <v>8</v>
      </c>
      <c r="O421" s="78">
        <f>INDEX(卡牌图鉴!$K$2:$K$53,MATCH(monster!C421,卡牌图鉴!$C$2:$C$53,0))</f>
        <v>4</v>
      </c>
    </row>
    <row r="422" spans="1:15" x14ac:dyDescent="0.15">
      <c r="A422" s="31">
        <v>1142</v>
      </c>
      <c r="B422" s="31" t="s">
        <v>260</v>
      </c>
      <c r="C422" s="31">
        <v>1140</v>
      </c>
      <c r="D422" s="15">
        <f>INDEX(卡牌图鉴!$S$2:$S$53,MATCH(monster!C422,卡牌图鉴!$C$2:$C$53,0))</f>
        <v>4</v>
      </c>
      <c r="E422" s="31">
        <v>2</v>
      </c>
      <c r="F422" s="15">
        <f>INT(INDEX(卡牌图鉴!$AB$2:$AB$53,MATCH(monster!C422,卡牌图鉴!$C$2:$C$57,0)) * INDEX(数值规划表!$B$61:$B$71,monster!E422+1) * 血量调整)</f>
        <v>627</v>
      </c>
      <c r="G422" s="15">
        <f>ROUND(INDEX(卡牌图鉴!$AB$2:$AB$53,MATCH(monster!C422,卡牌图鉴!$C$2:$C$57,0)) * INDEX(数值规划表!$D$61:$D$71,monster!E422+1)*血量调整,2)</f>
        <v>18.84</v>
      </c>
      <c r="H422" s="15">
        <f>ROUND(INDEX(卡牌图鉴!$AA$2:$AA$53,MATCH(monster!C422,卡牌图鉴!$C$2:$C$53,0)) * INDEX(数值规划表!$C$61:$C$71,monster!E422+1),2)</f>
        <v>105.02</v>
      </c>
      <c r="I422" s="15">
        <f>ROUND(INDEX(卡牌图鉴!$AA$2:$AA$53,MATCH(monster!C422,卡牌图鉴!$C$2:$C$53,0)) * INDEX(数值规划表!$E$61:$E$71,monster!E422+1),2)</f>
        <v>3.15</v>
      </c>
      <c r="J422" s="15">
        <f>INDEX(卡牌图鉴!$J$2:$J$53,MATCH(monster!C422,卡牌图鉴!$C$2:$C$53,0))</f>
        <v>1.2</v>
      </c>
      <c r="K422" s="15">
        <f>INDEX(卡牌图鉴!$S$2:$S$53,MATCH(monster!C422,卡牌图鉴!$C$2:$C$53,0))</f>
        <v>4</v>
      </c>
      <c r="L422" s="15">
        <f>INDEX(卡牌图鉴!$H$2:$H$53,MATCH(monster!C422,卡牌图鉴!$C$2:$C$53,0))</f>
        <v>1.4</v>
      </c>
      <c r="M422" s="15">
        <f>INDEX(卡牌图鉴!$L$2:$L$53,MATCH(monster!C422,卡牌图鉴!$C$2:$C$53,0))</f>
        <v>4</v>
      </c>
      <c r="N422" s="15">
        <f>INDEX(卡牌图鉴!$AD$2:$AD$53,MATCH(monster!C422,卡牌图鉴!$C$2:$C$53,0))</f>
        <v>8</v>
      </c>
      <c r="O422" s="78">
        <f>INDEX(卡牌图鉴!$K$2:$K$53,MATCH(monster!C422,卡牌图鉴!$C$2:$C$53,0))</f>
        <v>4</v>
      </c>
    </row>
    <row r="423" spans="1:15" x14ac:dyDescent="0.15">
      <c r="A423" s="31">
        <v>1143</v>
      </c>
      <c r="B423" s="31" t="s">
        <v>261</v>
      </c>
      <c r="C423" s="31">
        <v>1140</v>
      </c>
      <c r="D423" s="15">
        <f>INDEX(卡牌图鉴!$S$2:$S$53,MATCH(monster!C423,卡牌图鉴!$C$2:$C$53,0))</f>
        <v>4</v>
      </c>
      <c r="E423" s="31">
        <v>3</v>
      </c>
      <c r="F423" s="15">
        <f>INT(INDEX(卡牌图鉴!$AB$2:$AB$53,MATCH(monster!C423,卡牌图鉴!$C$2:$C$57,0)) * INDEX(数值规划表!$B$61:$B$71,monster!E423+1) * 血量调整)</f>
        <v>703</v>
      </c>
      <c r="G423" s="15">
        <f>ROUND(INDEX(卡牌图鉴!$AB$2:$AB$53,MATCH(monster!C423,卡牌图鉴!$C$2:$C$57,0)) * INDEX(数值规划表!$D$61:$D$71,monster!E423+1)*血量调整,2)</f>
        <v>21.1</v>
      </c>
      <c r="H423" s="15">
        <f>ROUND(INDEX(卡牌图鉴!$AA$2:$AA$53,MATCH(monster!C423,卡牌图鉴!$C$2:$C$53,0)) * INDEX(数值规划表!$C$61:$C$71,monster!E423+1),2)</f>
        <v>117.62</v>
      </c>
      <c r="I423" s="15">
        <f>ROUND(INDEX(卡牌图鉴!$AA$2:$AA$53,MATCH(monster!C423,卡牌图鉴!$C$2:$C$53,0)) * INDEX(数值规划表!$E$61:$E$71,monster!E423+1),2)</f>
        <v>3.53</v>
      </c>
      <c r="J423" s="15">
        <f>INDEX(卡牌图鉴!$J$2:$J$53,MATCH(monster!C423,卡牌图鉴!$C$2:$C$53,0))</f>
        <v>1.2</v>
      </c>
      <c r="K423" s="15">
        <f>INDEX(卡牌图鉴!$S$2:$S$53,MATCH(monster!C423,卡牌图鉴!$C$2:$C$53,0))</f>
        <v>4</v>
      </c>
      <c r="L423" s="15">
        <f>INDEX(卡牌图鉴!$H$2:$H$53,MATCH(monster!C423,卡牌图鉴!$C$2:$C$53,0))</f>
        <v>1.4</v>
      </c>
      <c r="M423" s="15">
        <f>INDEX(卡牌图鉴!$L$2:$L$53,MATCH(monster!C423,卡牌图鉴!$C$2:$C$53,0))</f>
        <v>4</v>
      </c>
      <c r="N423" s="15">
        <f>INDEX(卡牌图鉴!$AD$2:$AD$53,MATCH(monster!C423,卡牌图鉴!$C$2:$C$53,0))</f>
        <v>8</v>
      </c>
      <c r="O423" s="78">
        <f>INDEX(卡牌图鉴!$K$2:$K$53,MATCH(monster!C423,卡牌图鉴!$C$2:$C$53,0))</f>
        <v>4</v>
      </c>
    </row>
    <row r="424" spans="1:15" x14ac:dyDescent="0.15">
      <c r="A424" s="31">
        <v>1144</v>
      </c>
      <c r="B424" s="31" t="s">
        <v>262</v>
      </c>
      <c r="C424" s="31">
        <v>1140</v>
      </c>
      <c r="D424" s="15">
        <f>INDEX(卡牌图鉴!$S$2:$S$53,MATCH(monster!C424,卡牌图鉴!$C$2:$C$53,0))</f>
        <v>4</v>
      </c>
      <c r="E424" s="31">
        <v>4</v>
      </c>
      <c r="F424" s="15">
        <f>INT(INDEX(卡牌图鉴!$AB$2:$AB$53,MATCH(monster!C424,卡牌图鉴!$C$2:$C$57,0)) * INDEX(数值规划表!$B$61:$B$71,monster!E424+1) * 血量调整)</f>
        <v>787</v>
      </c>
      <c r="G424" s="15">
        <f>ROUND(INDEX(卡牌图鉴!$AB$2:$AB$53,MATCH(monster!C424,卡牌图鉴!$C$2:$C$57,0)) * INDEX(数值规划表!$D$61:$D$71,monster!E424+1)*血量调整,2)</f>
        <v>23.63</v>
      </c>
      <c r="H424" s="15">
        <f>ROUND(INDEX(卡牌图鉴!$AA$2:$AA$53,MATCH(monster!C424,卡牌图鉴!$C$2:$C$53,0)) * INDEX(数值规划表!$C$61:$C$71,monster!E424+1),2)</f>
        <v>131.74</v>
      </c>
      <c r="I424" s="15">
        <f>ROUND(INDEX(卡牌图鉴!$AA$2:$AA$53,MATCH(monster!C424,卡牌图鉴!$C$2:$C$53,0)) * INDEX(数值规划表!$E$61:$E$71,monster!E424+1),2)</f>
        <v>3.95</v>
      </c>
      <c r="J424" s="15">
        <f>INDEX(卡牌图鉴!$J$2:$J$53,MATCH(monster!C424,卡牌图鉴!$C$2:$C$53,0))</f>
        <v>1.2</v>
      </c>
      <c r="K424" s="15">
        <f>INDEX(卡牌图鉴!$S$2:$S$53,MATCH(monster!C424,卡牌图鉴!$C$2:$C$53,0))</f>
        <v>4</v>
      </c>
      <c r="L424" s="15">
        <f>INDEX(卡牌图鉴!$H$2:$H$53,MATCH(monster!C424,卡牌图鉴!$C$2:$C$53,0))</f>
        <v>1.4</v>
      </c>
      <c r="M424" s="15">
        <f>INDEX(卡牌图鉴!$L$2:$L$53,MATCH(monster!C424,卡牌图鉴!$C$2:$C$53,0))</f>
        <v>4</v>
      </c>
      <c r="N424" s="15">
        <f>INDEX(卡牌图鉴!$AD$2:$AD$53,MATCH(monster!C424,卡牌图鉴!$C$2:$C$53,0))</f>
        <v>8</v>
      </c>
      <c r="O424" s="78">
        <f>INDEX(卡牌图鉴!$K$2:$K$53,MATCH(monster!C424,卡牌图鉴!$C$2:$C$53,0))</f>
        <v>4</v>
      </c>
    </row>
    <row r="425" spans="1:15" x14ac:dyDescent="0.15">
      <c r="A425" s="31">
        <v>1145</v>
      </c>
      <c r="B425" s="31" t="s">
        <v>263</v>
      </c>
      <c r="C425" s="31">
        <v>1140</v>
      </c>
      <c r="D425" s="15">
        <f>INDEX(卡牌图鉴!$S$2:$S$53,MATCH(monster!C425,卡牌图鉴!$C$2:$C$53,0))</f>
        <v>4</v>
      </c>
      <c r="E425" s="31">
        <v>5</v>
      </c>
      <c r="F425" s="15">
        <f>INT(INDEX(卡牌图鉴!$AB$2:$AB$53,MATCH(monster!C425,卡牌图鉴!$C$2:$C$57,0)) * INDEX(数值规划表!$B$61:$B$71,monster!E425+1) * 血量调整)</f>
        <v>882</v>
      </c>
      <c r="G425" s="15">
        <f>ROUND(INDEX(卡牌图鉴!$AB$2:$AB$53,MATCH(monster!C425,卡牌图鉴!$C$2:$C$57,0)) * INDEX(数值规划表!$D$61:$D$71,monster!E425+1)*血量调整,2)</f>
        <v>26.47</v>
      </c>
      <c r="H425" s="15">
        <f>ROUND(INDEX(卡牌图鉴!$AA$2:$AA$53,MATCH(monster!C425,卡牌图鉴!$C$2:$C$53,0)) * INDEX(数值规划表!$C$61:$C$71,monster!E425+1),2)</f>
        <v>147.54</v>
      </c>
      <c r="I425" s="15">
        <f>ROUND(INDEX(卡牌图鉴!$AA$2:$AA$53,MATCH(monster!C425,卡牌图鉴!$C$2:$C$53,0)) * INDEX(数值规划表!$E$61:$E$71,monster!E425+1),2)</f>
        <v>4.43</v>
      </c>
      <c r="J425" s="15">
        <f>INDEX(卡牌图鉴!$J$2:$J$53,MATCH(monster!C425,卡牌图鉴!$C$2:$C$53,0))</f>
        <v>1.2</v>
      </c>
      <c r="K425" s="15">
        <f>INDEX(卡牌图鉴!$S$2:$S$53,MATCH(monster!C425,卡牌图鉴!$C$2:$C$53,0))</f>
        <v>4</v>
      </c>
      <c r="L425" s="15">
        <f>INDEX(卡牌图鉴!$H$2:$H$53,MATCH(monster!C425,卡牌图鉴!$C$2:$C$53,0))</f>
        <v>1.4</v>
      </c>
      <c r="M425" s="15">
        <f>INDEX(卡牌图鉴!$L$2:$L$53,MATCH(monster!C425,卡牌图鉴!$C$2:$C$53,0))</f>
        <v>4</v>
      </c>
      <c r="N425" s="15">
        <f>INDEX(卡牌图鉴!$AD$2:$AD$53,MATCH(monster!C425,卡牌图鉴!$C$2:$C$53,0))</f>
        <v>8</v>
      </c>
      <c r="O425" s="78">
        <f>INDEX(卡牌图鉴!$K$2:$K$53,MATCH(monster!C425,卡牌图鉴!$C$2:$C$53,0))</f>
        <v>4</v>
      </c>
    </row>
    <row r="426" spans="1:15" x14ac:dyDescent="0.15">
      <c r="A426" s="31">
        <v>1146</v>
      </c>
      <c r="B426" s="31" t="s">
        <v>264</v>
      </c>
      <c r="C426" s="31">
        <v>1140</v>
      </c>
      <c r="D426" s="15">
        <f>INDEX(卡牌图鉴!$S$2:$S$53,MATCH(monster!C426,卡牌图鉴!$C$2:$C$53,0))</f>
        <v>4</v>
      </c>
      <c r="E426" s="31">
        <v>6</v>
      </c>
      <c r="F426" s="15">
        <f>INT(INDEX(卡牌图鉴!$AB$2:$AB$53,MATCH(monster!C426,卡牌图鉴!$C$2:$C$57,0)) * INDEX(数值规划表!$B$61:$B$71,monster!E426+1) * 血量调整)</f>
        <v>988</v>
      </c>
      <c r="G426" s="15">
        <f>ROUND(INDEX(卡牌图鉴!$AB$2:$AB$53,MATCH(monster!C426,卡牌图鉴!$C$2:$C$57,0)) * INDEX(数值规划表!$D$61:$D$71,monster!E426+1)*血量调整,2)</f>
        <v>29.64</v>
      </c>
      <c r="H426" s="15">
        <f>ROUND(INDEX(卡牌图鉴!$AA$2:$AA$53,MATCH(monster!C426,卡牌图鉴!$C$2:$C$53,0)) * INDEX(数值规划表!$C$61:$C$71,monster!E426+1),2)</f>
        <v>165.25</v>
      </c>
      <c r="I426" s="15">
        <f>ROUND(INDEX(卡牌图鉴!$AA$2:$AA$53,MATCH(monster!C426,卡牌图鉴!$C$2:$C$53,0)) * INDEX(数值规划表!$E$61:$E$71,monster!E426+1),2)</f>
        <v>4.96</v>
      </c>
      <c r="J426" s="15">
        <f>INDEX(卡牌图鉴!$J$2:$J$53,MATCH(monster!C426,卡牌图鉴!$C$2:$C$53,0))</f>
        <v>1.2</v>
      </c>
      <c r="K426" s="15">
        <f>INDEX(卡牌图鉴!$S$2:$S$53,MATCH(monster!C426,卡牌图鉴!$C$2:$C$53,0))</f>
        <v>4</v>
      </c>
      <c r="L426" s="15">
        <f>INDEX(卡牌图鉴!$H$2:$H$53,MATCH(monster!C426,卡牌图鉴!$C$2:$C$53,0))</f>
        <v>1.4</v>
      </c>
      <c r="M426" s="15">
        <f>INDEX(卡牌图鉴!$L$2:$L$53,MATCH(monster!C426,卡牌图鉴!$C$2:$C$53,0))</f>
        <v>4</v>
      </c>
      <c r="N426" s="15">
        <f>INDEX(卡牌图鉴!$AD$2:$AD$53,MATCH(monster!C426,卡牌图鉴!$C$2:$C$53,0))</f>
        <v>8</v>
      </c>
      <c r="O426" s="78">
        <f>INDEX(卡牌图鉴!$K$2:$K$53,MATCH(monster!C426,卡牌图鉴!$C$2:$C$53,0))</f>
        <v>4</v>
      </c>
    </row>
    <row r="427" spans="1:15" x14ac:dyDescent="0.15">
      <c r="A427" s="31">
        <v>1147</v>
      </c>
      <c r="B427" s="31" t="s">
        <v>265</v>
      </c>
      <c r="C427" s="31">
        <v>1140</v>
      </c>
      <c r="D427" s="15">
        <f>INDEX(卡牌图鉴!$S$2:$S$53,MATCH(monster!C427,卡牌图鉴!$C$2:$C$53,0))</f>
        <v>4</v>
      </c>
      <c r="E427" s="31">
        <v>7</v>
      </c>
      <c r="F427" s="15">
        <f>INT(INDEX(卡牌图鉴!$AB$2:$AB$53,MATCH(monster!C427,卡牌图鉴!$C$2:$C$57,0)) * INDEX(数值规划表!$B$61:$B$71,monster!E427+1) * 血量调整)</f>
        <v>1106</v>
      </c>
      <c r="G427" s="15">
        <f>ROUND(INDEX(卡牌图鉴!$AB$2:$AB$53,MATCH(monster!C427,卡牌图鉴!$C$2:$C$57,0)) * INDEX(数值规划表!$D$61:$D$71,monster!E427+1)*血量调整,2)</f>
        <v>33.200000000000003</v>
      </c>
      <c r="H427" s="15">
        <f>ROUND(INDEX(卡牌图鉴!$AA$2:$AA$53,MATCH(monster!C427,卡牌图鉴!$C$2:$C$53,0)) * INDEX(数值规划表!$C$61:$C$71,monster!E427+1),2)</f>
        <v>185.08</v>
      </c>
      <c r="I427" s="15">
        <f>ROUND(INDEX(卡牌图鉴!$AA$2:$AA$53,MATCH(monster!C427,卡牌图鉴!$C$2:$C$53,0)) * INDEX(数值规划表!$E$61:$E$71,monster!E427+1),2)</f>
        <v>5.55</v>
      </c>
      <c r="J427" s="15">
        <f>INDEX(卡牌图鉴!$J$2:$J$53,MATCH(monster!C427,卡牌图鉴!$C$2:$C$53,0))</f>
        <v>1.2</v>
      </c>
      <c r="K427" s="15">
        <f>INDEX(卡牌图鉴!$S$2:$S$53,MATCH(monster!C427,卡牌图鉴!$C$2:$C$53,0))</f>
        <v>4</v>
      </c>
      <c r="L427" s="15">
        <f>INDEX(卡牌图鉴!$H$2:$H$53,MATCH(monster!C427,卡牌图鉴!$C$2:$C$53,0))</f>
        <v>1.4</v>
      </c>
      <c r="M427" s="15">
        <f>INDEX(卡牌图鉴!$L$2:$L$53,MATCH(monster!C427,卡牌图鉴!$C$2:$C$53,0))</f>
        <v>4</v>
      </c>
      <c r="N427" s="15">
        <f>INDEX(卡牌图鉴!$AD$2:$AD$53,MATCH(monster!C427,卡牌图鉴!$C$2:$C$53,0))</f>
        <v>8</v>
      </c>
      <c r="O427" s="78">
        <f>INDEX(卡牌图鉴!$K$2:$K$53,MATCH(monster!C427,卡牌图鉴!$C$2:$C$53,0))</f>
        <v>4</v>
      </c>
    </row>
    <row r="428" spans="1:15" x14ac:dyDescent="0.15">
      <c r="A428" s="31">
        <v>1148</v>
      </c>
      <c r="B428" s="31" t="s">
        <v>266</v>
      </c>
      <c r="C428" s="31">
        <v>1140</v>
      </c>
      <c r="D428" s="15">
        <f>INDEX(卡牌图鉴!$S$2:$S$53,MATCH(monster!C428,卡牌图鉴!$C$2:$C$53,0))</f>
        <v>4</v>
      </c>
      <c r="E428" s="31">
        <v>8</v>
      </c>
      <c r="F428" s="15">
        <f>INT(INDEX(卡牌图鉴!$AB$2:$AB$53,MATCH(monster!C428,卡牌图鉴!$C$2:$C$57,0)) * INDEX(数值规划表!$B$61:$B$71,monster!E428+1) * 血量调整)</f>
        <v>1239</v>
      </c>
      <c r="G428" s="15">
        <f>ROUND(INDEX(卡牌图鉴!$AB$2:$AB$53,MATCH(monster!C428,卡牌图鉴!$C$2:$C$57,0)) * INDEX(数值规划表!$D$61:$D$71,monster!E428+1)*血量调整,2)</f>
        <v>37.18</v>
      </c>
      <c r="H428" s="15">
        <f>ROUND(INDEX(卡牌图鉴!$AA$2:$AA$53,MATCH(monster!C428,卡牌图鉴!$C$2:$C$53,0)) * INDEX(数值规划表!$C$61:$C$71,monster!E428+1),2)</f>
        <v>207.29</v>
      </c>
      <c r="I428" s="15">
        <f>ROUND(INDEX(卡牌图鉴!$AA$2:$AA$53,MATCH(monster!C428,卡牌图鉴!$C$2:$C$53,0)) * INDEX(数值规划表!$E$61:$E$71,monster!E428+1),2)</f>
        <v>6.22</v>
      </c>
      <c r="J428" s="15">
        <f>INDEX(卡牌图鉴!$J$2:$J$53,MATCH(monster!C428,卡牌图鉴!$C$2:$C$53,0))</f>
        <v>1.2</v>
      </c>
      <c r="K428" s="15">
        <f>INDEX(卡牌图鉴!$S$2:$S$53,MATCH(monster!C428,卡牌图鉴!$C$2:$C$53,0))</f>
        <v>4</v>
      </c>
      <c r="L428" s="15">
        <f>INDEX(卡牌图鉴!$H$2:$H$53,MATCH(monster!C428,卡牌图鉴!$C$2:$C$53,0))</f>
        <v>1.4</v>
      </c>
      <c r="M428" s="15">
        <f>INDEX(卡牌图鉴!$L$2:$L$53,MATCH(monster!C428,卡牌图鉴!$C$2:$C$53,0))</f>
        <v>4</v>
      </c>
      <c r="N428" s="15">
        <f>INDEX(卡牌图鉴!$AD$2:$AD$53,MATCH(monster!C428,卡牌图鉴!$C$2:$C$53,0))</f>
        <v>8</v>
      </c>
      <c r="O428" s="78">
        <f>INDEX(卡牌图鉴!$K$2:$K$53,MATCH(monster!C428,卡牌图鉴!$C$2:$C$53,0))</f>
        <v>4</v>
      </c>
    </row>
    <row r="429" spans="1:15" x14ac:dyDescent="0.15">
      <c r="A429" s="31">
        <v>1149</v>
      </c>
      <c r="B429" s="31" t="s">
        <v>267</v>
      </c>
      <c r="C429" s="31">
        <v>1140</v>
      </c>
      <c r="D429" s="15">
        <f>INDEX(卡牌图鉴!$S$2:$S$53,MATCH(monster!C429,卡牌图鉴!$C$2:$C$53,0))</f>
        <v>4</v>
      </c>
      <c r="E429" s="31">
        <v>9</v>
      </c>
      <c r="F429" s="15">
        <f>INT(INDEX(卡牌图鉴!$AB$2:$AB$53,MATCH(monster!C429,卡牌图鉴!$C$2:$C$57,0)) * INDEX(数值规划表!$B$61:$B$71,monster!E429+1) * 血量调整)</f>
        <v>1388</v>
      </c>
      <c r="G429" s="15">
        <f>ROUND(INDEX(卡牌图鉴!$AB$2:$AB$53,MATCH(monster!C429,卡牌图鉴!$C$2:$C$57,0)) * INDEX(数值规划表!$D$61:$D$71,monster!E429+1)*血量调整,2)</f>
        <v>41.65</v>
      </c>
      <c r="H429" s="15">
        <f>ROUND(INDEX(卡牌图鉴!$AA$2:$AA$53,MATCH(monster!C429,卡牌图鉴!$C$2:$C$53,0)) * INDEX(数值规划表!$C$61:$C$71,monster!E429+1),2)</f>
        <v>232.16</v>
      </c>
      <c r="I429" s="15">
        <f>ROUND(INDEX(卡牌图鉴!$AA$2:$AA$53,MATCH(monster!C429,卡牌图鉴!$C$2:$C$53,0)) * INDEX(数值规划表!$E$61:$E$71,monster!E429+1),2)</f>
        <v>6.96</v>
      </c>
      <c r="J429" s="15">
        <f>INDEX(卡牌图鉴!$J$2:$J$53,MATCH(monster!C429,卡牌图鉴!$C$2:$C$53,0))</f>
        <v>1.2</v>
      </c>
      <c r="K429" s="15">
        <f>INDEX(卡牌图鉴!$S$2:$S$53,MATCH(monster!C429,卡牌图鉴!$C$2:$C$53,0))</f>
        <v>4</v>
      </c>
      <c r="L429" s="15">
        <f>INDEX(卡牌图鉴!$H$2:$H$53,MATCH(monster!C429,卡牌图鉴!$C$2:$C$53,0))</f>
        <v>1.4</v>
      </c>
      <c r="M429" s="15">
        <f>INDEX(卡牌图鉴!$L$2:$L$53,MATCH(monster!C429,卡牌图鉴!$C$2:$C$53,0))</f>
        <v>4</v>
      </c>
      <c r="N429" s="15">
        <f>INDEX(卡牌图鉴!$AD$2:$AD$53,MATCH(monster!C429,卡牌图鉴!$C$2:$C$53,0))</f>
        <v>8</v>
      </c>
      <c r="O429" s="78">
        <f>INDEX(卡牌图鉴!$K$2:$K$53,MATCH(monster!C429,卡牌图鉴!$C$2:$C$53,0))</f>
        <v>4</v>
      </c>
    </row>
    <row r="430" spans="1:15" x14ac:dyDescent="0.15">
      <c r="A430" s="31">
        <v>1150</v>
      </c>
      <c r="B430" s="31" t="s">
        <v>268</v>
      </c>
      <c r="C430" s="31">
        <v>1140</v>
      </c>
      <c r="D430" s="15">
        <f>INDEX(卡牌图鉴!$S$2:$S$53,MATCH(monster!C430,卡牌图鉴!$C$2:$C$53,0))</f>
        <v>4</v>
      </c>
      <c r="E430" s="31">
        <v>10</v>
      </c>
      <c r="F430" s="15">
        <f>INT(INDEX(卡牌图鉴!$AB$2:$AB$53,MATCH(monster!C430,卡牌图鉴!$C$2:$C$57,0)) * INDEX(数值规划表!$B$61:$B$71,monster!E430+1) * 血量调整)</f>
        <v>1554</v>
      </c>
      <c r="G430" s="15">
        <f>ROUND(INDEX(卡牌图鉴!$AB$2:$AB$53,MATCH(monster!C430,卡牌图鉴!$C$2:$C$57,0)) * INDEX(数值规划表!$D$61:$D$71,monster!E430+1)*血量调整,2)</f>
        <v>46.64</v>
      </c>
      <c r="H430" s="15">
        <f>ROUND(INDEX(卡牌图鉴!$AA$2:$AA$53,MATCH(monster!C430,卡牌图鉴!$C$2:$C$53,0)) * INDEX(数值规划表!$C$61:$C$71,monster!E430+1),2)</f>
        <v>260.02</v>
      </c>
      <c r="I430" s="15">
        <f>ROUND(INDEX(卡牌图鉴!$AA$2:$AA$53,MATCH(monster!C430,卡牌图鉴!$C$2:$C$53,0)) * INDEX(数值规划表!$E$61:$E$71,monster!E430+1),2)</f>
        <v>7.8</v>
      </c>
      <c r="J430" s="15">
        <f>INDEX(卡牌图鉴!$J$2:$J$53,MATCH(monster!C430,卡牌图鉴!$C$2:$C$53,0))</f>
        <v>1.2</v>
      </c>
      <c r="K430" s="15">
        <f>INDEX(卡牌图鉴!$S$2:$S$53,MATCH(monster!C430,卡牌图鉴!$C$2:$C$53,0))</f>
        <v>4</v>
      </c>
      <c r="L430" s="15">
        <f>INDEX(卡牌图鉴!$H$2:$H$53,MATCH(monster!C430,卡牌图鉴!$C$2:$C$53,0))</f>
        <v>1.4</v>
      </c>
      <c r="M430" s="15">
        <f>INDEX(卡牌图鉴!$L$2:$L$53,MATCH(monster!C430,卡牌图鉴!$C$2:$C$53,0))</f>
        <v>4</v>
      </c>
      <c r="N430" s="15">
        <f>INDEX(卡牌图鉴!$AD$2:$AD$53,MATCH(monster!C430,卡牌图鉴!$C$2:$C$53,0))</f>
        <v>8</v>
      </c>
      <c r="O430" s="78">
        <f>INDEX(卡牌图鉴!$K$2:$K$53,MATCH(monster!C430,卡牌图鉴!$C$2:$C$53,0))</f>
        <v>4</v>
      </c>
    </row>
    <row r="431" spans="1:15" x14ac:dyDescent="0.15">
      <c r="A431" s="31">
        <v>1228</v>
      </c>
      <c r="B431" s="31" t="s">
        <v>1376</v>
      </c>
      <c r="C431" s="31">
        <v>1228</v>
      </c>
      <c r="D431" s="15">
        <f>INDEX(卡牌图鉴!$S$2:$S$53,MATCH(monster!C431,卡牌图鉴!$C$2:$C$53,0))</f>
        <v>5</v>
      </c>
      <c r="E431" s="31">
        <v>0</v>
      </c>
      <c r="F431" s="15">
        <f>INT(INDEX(卡牌图鉴!$AB$2:$AB$53,MATCH(monster!C431,卡牌图鉴!$C$2:$C$57,0)) * INDEX(数值规划表!$B$61:$B$71,monster!E431+1) * 血量调整)</f>
        <v>526</v>
      </c>
      <c r="G431" s="15">
        <f>ROUND(INDEX(卡牌图鉴!$AB$2:$AB$53,MATCH(monster!C431,卡牌图鉴!$C$2:$C$57,0)) * INDEX(数值规划表!$D$61:$D$71,monster!E431+1)*血量调整,2)</f>
        <v>15.81</v>
      </c>
      <c r="H431" s="15">
        <f>ROUND(INDEX(卡牌图鉴!$AA$2:$AA$53,MATCH(monster!C431,卡牌图鉴!$C$2:$C$53,0)) * INDEX(数值规划表!$C$61:$C$71,monster!E431+1),2)</f>
        <v>114.17</v>
      </c>
      <c r="I431" s="15">
        <f>ROUND(INDEX(卡牌图鉴!$AA$2:$AA$53,MATCH(monster!C431,卡牌图鉴!$C$2:$C$53,0)) * INDEX(数值规划表!$E$61:$E$71,monster!E431+1),2)</f>
        <v>3.43</v>
      </c>
      <c r="J431" s="15">
        <f>INDEX(卡牌图鉴!$J$2:$J$53,MATCH(monster!C431,卡牌图鉴!$C$2:$C$53,0))</f>
        <v>1.2</v>
      </c>
      <c r="K431" s="15">
        <f>INDEX(卡牌图鉴!$S$2:$S$53,MATCH(monster!C431,卡牌图鉴!$C$2:$C$53,0))</f>
        <v>5</v>
      </c>
      <c r="L431" s="15">
        <f>INDEX(卡牌图鉴!$H$2:$H$53,MATCH(monster!C431,卡牌图鉴!$C$2:$C$53,0))</f>
        <v>1.4</v>
      </c>
      <c r="M431" s="15">
        <f>INDEX(卡牌图鉴!$L$2:$L$53,MATCH(monster!C431,卡牌图鉴!$C$2:$C$53,0))</f>
        <v>4</v>
      </c>
      <c r="N431" s="15">
        <f>INDEX(卡牌图鉴!$AD$2:$AD$53,MATCH(monster!C431,卡牌图鉴!$C$2:$C$53,0))</f>
        <v>6</v>
      </c>
      <c r="O431" s="78">
        <f>INDEX(卡牌图鉴!$K$2:$K$53,MATCH(monster!C431,卡牌图鉴!$C$2:$C$53,0))</f>
        <v>4</v>
      </c>
    </row>
    <row r="432" spans="1:15" x14ac:dyDescent="0.15">
      <c r="A432" s="31">
        <v>1229</v>
      </c>
      <c r="B432" s="31" t="s">
        <v>1377</v>
      </c>
      <c r="C432" s="31">
        <v>1228</v>
      </c>
      <c r="D432" s="15">
        <f>INDEX(卡牌图鉴!$S$2:$S$53,MATCH(monster!C432,卡牌图鉴!$C$2:$C$53,0))</f>
        <v>5</v>
      </c>
      <c r="E432" s="31">
        <v>1</v>
      </c>
      <c r="F432" s="15">
        <f>INT(INDEX(卡牌图鉴!$AB$2:$AB$53,MATCH(monster!C432,卡牌图鉴!$C$2:$C$57,0)) * INDEX(数值规划表!$B$61:$B$71,monster!E432+1) * 血量调整)</f>
        <v>590</v>
      </c>
      <c r="G432" s="15">
        <f>ROUND(INDEX(卡牌图鉴!$AB$2:$AB$53,MATCH(monster!C432,卡牌图鉴!$C$2:$C$57,0)) * INDEX(数值规划表!$D$61:$D$71,monster!E432+1)*血量调整,2)</f>
        <v>17.71</v>
      </c>
      <c r="H432" s="15">
        <f>ROUND(INDEX(卡牌图鉴!$AA$2:$AA$53,MATCH(monster!C432,卡牌图鉴!$C$2:$C$53,0)) * INDEX(数值规划表!$C$61:$C$71,monster!E432+1),2)</f>
        <v>127.87</v>
      </c>
      <c r="I432" s="15">
        <f>ROUND(INDEX(卡牌图鉴!$AA$2:$AA$53,MATCH(monster!C432,卡牌图鉴!$C$2:$C$53,0)) * INDEX(数值规划表!$E$61:$E$71,monster!E432+1),2)</f>
        <v>3.84</v>
      </c>
      <c r="J432" s="15">
        <f>INDEX(卡牌图鉴!$J$2:$J$53,MATCH(monster!C432,卡牌图鉴!$C$2:$C$53,0))</f>
        <v>1.2</v>
      </c>
      <c r="K432" s="15">
        <f>INDEX(卡牌图鉴!$S$2:$S$53,MATCH(monster!C432,卡牌图鉴!$C$2:$C$53,0))</f>
        <v>5</v>
      </c>
      <c r="L432" s="15">
        <f>INDEX(卡牌图鉴!$H$2:$H$53,MATCH(monster!C432,卡牌图鉴!$C$2:$C$53,0))</f>
        <v>1.4</v>
      </c>
      <c r="M432" s="15">
        <f>INDEX(卡牌图鉴!$L$2:$L$53,MATCH(monster!C432,卡牌图鉴!$C$2:$C$53,0))</f>
        <v>4</v>
      </c>
      <c r="N432" s="15">
        <f>INDEX(卡牌图鉴!$AD$2:$AD$53,MATCH(monster!C432,卡牌图鉴!$C$2:$C$53,0))</f>
        <v>6</v>
      </c>
      <c r="O432" s="78">
        <f>INDEX(卡牌图鉴!$K$2:$K$53,MATCH(monster!C432,卡牌图鉴!$C$2:$C$53,0))</f>
        <v>4</v>
      </c>
    </row>
    <row r="433" spans="1:15" x14ac:dyDescent="0.15">
      <c r="A433" s="31">
        <v>1230</v>
      </c>
      <c r="B433" s="31" t="s">
        <v>323</v>
      </c>
      <c r="C433" s="31">
        <v>1228</v>
      </c>
      <c r="D433" s="15">
        <f>INDEX(卡牌图鉴!$S$2:$S$53,MATCH(monster!C433,卡牌图鉴!$C$2:$C$53,0))</f>
        <v>5</v>
      </c>
      <c r="E433" s="31">
        <v>2</v>
      </c>
      <c r="F433" s="15">
        <f>INT(INDEX(卡牌图鉴!$AB$2:$AB$53,MATCH(monster!C433,卡牌图鉴!$C$2:$C$57,0)) * INDEX(数值规划表!$B$61:$B$71,monster!E433+1) * 血量调整)</f>
        <v>660</v>
      </c>
      <c r="G433" s="15">
        <f>ROUND(INDEX(卡牌图鉴!$AB$2:$AB$53,MATCH(monster!C433,卡牌图鉴!$C$2:$C$57,0)) * INDEX(数值规划表!$D$61:$D$71,monster!E433+1)*血量调整,2)</f>
        <v>19.829999999999998</v>
      </c>
      <c r="H433" s="15">
        <f>ROUND(INDEX(卡牌图鉴!$AA$2:$AA$53,MATCH(monster!C433,卡牌图鉴!$C$2:$C$53,0)) * INDEX(数值规划表!$C$61:$C$71,monster!E433+1),2)</f>
        <v>143.21</v>
      </c>
      <c r="I433" s="15">
        <f>ROUND(INDEX(卡牌图鉴!$AA$2:$AA$53,MATCH(monster!C433,卡牌图鉴!$C$2:$C$53,0)) * INDEX(数值规划表!$E$61:$E$71,monster!E433+1),2)</f>
        <v>4.3</v>
      </c>
      <c r="J433" s="15">
        <f>INDEX(卡牌图鉴!$J$2:$J$53,MATCH(monster!C433,卡牌图鉴!$C$2:$C$53,0))</f>
        <v>1.2</v>
      </c>
      <c r="K433" s="15">
        <f>INDEX(卡牌图鉴!$S$2:$S$53,MATCH(monster!C433,卡牌图鉴!$C$2:$C$53,0))</f>
        <v>5</v>
      </c>
      <c r="L433" s="15">
        <f>INDEX(卡牌图鉴!$H$2:$H$53,MATCH(monster!C433,卡牌图鉴!$C$2:$C$53,0))</f>
        <v>1.4</v>
      </c>
      <c r="M433" s="15">
        <f>INDEX(卡牌图鉴!$L$2:$L$53,MATCH(monster!C433,卡牌图鉴!$C$2:$C$53,0))</f>
        <v>4</v>
      </c>
      <c r="N433" s="15">
        <f>INDEX(卡牌图鉴!$AD$2:$AD$53,MATCH(monster!C433,卡牌图鉴!$C$2:$C$53,0))</f>
        <v>6</v>
      </c>
      <c r="O433" s="78">
        <f>INDEX(卡牌图鉴!$K$2:$K$53,MATCH(monster!C433,卡牌图鉴!$C$2:$C$53,0))</f>
        <v>4</v>
      </c>
    </row>
    <row r="434" spans="1:15" x14ac:dyDescent="0.15">
      <c r="A434" s="31">
        <v>1231</v>
      </c>
      <c r="B434" s="31" t="s">
        <v>324</v>
      </c>
      <c r="C434" s="31">
        <v>1228</v>
      </c>
      <c r="D434" s="15">
        <f>INDEX(卡牌图鉴!$S$2:$S$53,MATCH(monster!C434,卡牌图鉴!$C$2:$C$53,0))</f>
        <v>5</v>
      </c>
      <c r="E434" s="31">
        <v>3</v>
      </c>
      <c r="F434" s="15">
        <f>INT(INDEX(卡牌图鉴!$AB$2:$AB$53,MATCH(monster!C434,卡牌图鉴!$C$2:$C$57,0)) * INDEX(数值规划表!$B$61:$B$71,monster!E434+1) * 血量调整)</f>
        <v>740</v>
      </c>
      <c r="G434" s="15">
        <f>ROUND(INDEX(卡牌图鉴!$AB$2:$AB$53,MATCH(monster!C434,卡牌图鉴!$C$2:$C$57,0)) * INDEX(数值规划表!$D$61:$D$71,monster!E434+1)*血量调整,2)</f>
        <v>22.21</v>
      </c>
      <c r="H434" s="15">
        <f>ROUND(INDEX(卡牌图鉴!$AA$2:$AA$53,MATCH(monster!C434,卡牌图鉴!$C$2:$C$53,0)) * INDEX(数值规划表!$C$61:$C$71,monster!E434+1),2)</f>
        <v>160.4</v>
      </c>
      <c r="I434" s="15">
        <f>ROUND(INDEX(卡牌图鉴!$AA$2:$AA$53,MATCH(monster!C434,卡牌图鉴!$C$2:$C$53,0)) * INDEX(数值规划表!$E$61:$E$71,monster!E434+1),2)</f>
        <v>4.8099999999999996</v>
      </c>
      <c r="J434" s="15">
        <f>INDEX(卡牌图鉴!$J$2:$J$53,MATCH(monster!C434,卡牌图鉴!$C$2:$C$53,0))</f>
        <v>1.2</v>
      </c>
      <c r="K434" s="15">
        <f>INDEX(卡牌图鉴!$S$2:$S$53,MATCH(monster!C434,卡牌图鉴!$C$2:$C$53,0))</f>
        <v>5</v>
      </c>
      <c r="L434" s="15">
        <f>INDEX(卡牌图鉴!$H$2:$H$53,MATCH(monster!C434,卡牌图鉴!$C$2:$C$53,0))</f>
        <v>1.4</v>
      </c>
      <c r="M434" s="15">
        <f>INDEX(卡牌图鉴!$L$2:$L$53,MATCH(monster!C434,卡牌图鉴!$C$2:$C$53,0))</f>
        <v>4</v>
      </c>
      <c r="N434" s="15">
        <f>INDEX(卡牌图鉴!$AD$2:$AD$53,MATCH(monster!C434,卡牌图鉴!$C$2:$C$53,0))</f>
        <v>6</v>
      </c>
      <c r="O434" s="78">
        <f>INDEX(卡牌图鉴!$K$2:$K$53,MATCH(monster!C434,卡牌图鉴!$C$2:$C$53,0))</f>
        <v>4</v>
      </c>
    </row>
    <row r="435" spans="1:15" x14ac:dyDescent="0.15">
      <c r="A435" s="31">
        <v>1232</v>
      </c>
      <c r="B435" s="31" t="s">
        <v>325</v>
      </c>
      <c r="C435" s="31">
        <v>1228</v>
      </c>
      <c r="D435" s="15">
        <f>INDEX(卡牌图鉴!$S$2:$S$53,MATCH(monster!C435,卡牌图鉴!$C$2:$C$53,0))</f>
        <v>5</v>
      </c>
      <c r="E435" s="31">
        <v>4</v>
      </c>
      <c r="F435" s="15">
        <f>INT(INDEX(卡牌图鉴!$AB$2:$AB$53,MATCH(monster!C435,卡牌图鉴!$C$2:$C$57,0)) * INDEX(数值规划表!$B$61:$B$71,monster!E435+1) * 血量调整)</f>
        <v>829</v>
      </c>
      <c r="G435" s="15">
        <f>ROUND(INDEX(卡牌图鉴!$AB$2:$AB$53,MATCH(monster!C435,卡牌图鉴!$C$2:$C$57,0)) * INDEX(数值规划表!$D$61:$D$71,monster!E435+1)*血量调整,2)</f>
        <v>24.87</v>
      </c>
      <c r="H435" s="15">
        <f>ROUND(INDEX(卡牌图鉴!$AA$2:$AA$53,MATCH(monster!C435,卡牌图鉴!$C$2:$C$53,0)) * INDEX(数值规划表!$C$61:$C$71,monster!E435+1),2)</f>
        <v>179.65</v>
      </c>
      <c r="I435" s="15">
        <f>ROUND(INDEX(卡牌图鉴!$AA$2:$AA$53,MATCH(monster!C435,卡牌图鉴!$C$2:$C$53,0)) * INDEX(数值规划表!$E$61:$E$71,monster!E435+1),2)</f>
        <v>5.39</v>
      </c>
      <c r="J435" s="15">
        <f>INDEX(卡牌图鉴!$J$2:$J$53,MATCH(monster!C435,卡牌图鉴!$C$2:$C$53,0))</f>
        <v>1.2</v>
      </c>
      <c r="K435" s="15">
        <f>INDEX(卡牌图鉴!$S$2:$S$53,MATCH(monster!C435,卡牌图鉴!$C$2:$C$53,0))</f>
        <v>5</v>
      </c>
      <c r="L435" s="15">
        <f>INDEX(卡牌图鉴!$H$2:$H$53,MATCH(monster!C435,卡牌图鉴!$C$2:$C$53,0))</f>
        <v>1.4</v>
      </c>
      <c r="M435" s="15">
        <f>INDEX(卡牌图鉴!$L$2:$L$53,MATCH(monster!C435,卡牌图鉴!$C$2:$C$53,0))</f>
        <v>4</v>
      </c>
      <c r="N435" s="15">
        <f>INDEX(卡牌图鉴!$AD$2:$AD$53,MATCH(monster!C435,卡牌图鉴!$C$2:$C$53,0))</f>
        <v>6</v>
      </c>
      <c r="O435" s="78">
        <f>INDEX(卡牌图鉴!$K$2:$K$53,MATCH(monster!C435,卡牌图鉴!$C$2:$C$53,0))</f>
        <v>4</v>
      </c>
    </row>
    <row r="436" spans="1:15" x14ac:dyDescent="0.15">
      <c r="A436" s="31">
        <v>1233</v>
      </c>
      <c r="B436" s="31" t="s">
        <v>326</v>
      </c>
      <c r="C436" s="31">
        <v>1228</v>
      </c>
      <c r="D436" s="15">
        <f>INDEX(卡牌图鉴!$S$2:$S$53,MATCH(monster!C436,卡牌图鉴!$C$2:$C$53,0))</f>
        <v>5</v>
      </c>
      <c r="E436" s="31">
        <v>5</v>
      </c>
      <c r="F436" s="15">
        <f>INT(INDEX(卡牌图鉴!$AB$2:$AB$53,MATCH(monster!C436,卡牌图鉴!$C$2:$C$57,0)) * INDEX(数值规划表!$B$61:$B$71,monster!E436+1) * 血量调整)</f>
        <v>928</v>
      </c>
      <c r="G436" s="15">
        <f>ROUND(INDEX(卡牌图鉴!$AB$2:$AB$53,MATCH(monster!C436,卡牌图鉴!$C$2:$C$57,0)) * INDEX(数值规划表!$D$61:$D$71,monster!E436+1)*血量调整,2)</f>
        <v>27.86</v>
      </c>
      <c r="H436" s="15">
        <f>ROUND(INDEX(卡牌图鉴!$AA$2:$AA$53,MATCH(monster!C436,卡牌图鉴!$C$2:$C$53,0)) * INDEX(数值规划表!$C$61:$C$71,monster!E436+1),2)</f>
        <v>201.21</v>
      </c>
      <c r="I436" s="15">
        <f>ROUND(INDEX(卡牌图鉴!$AA$2:$AA$53,MATCH(monster!C436,卡牌图鉴!$C$2:$C$53,0)) * INDEX(数值规划表!$E$61:$E$71,monster!E436+1),2)</f>
        <v>6.04</v>
      </c>
      <c r="J436" s="15">
        <f>INDEX(卡牌图鉴!$J$2:$J$53,MATCH(monster!C436,卡牌图鉴!$C$2:$C$53,0))</f>
        <v>1.2</v>
      </c>
      <c r="K436" s="15">
        <f>INDEX(卡牌图鉴!$S$2:$S$53,MATCH(monster!C436,卡牌图鉴!$C$2:$C$53,0))</f>
        <v>5</v>
      </c>
      <c r="L436" s="15">
        <f>INDEX(卡牌图鉴!$H$2:$H$53,MATCH(monster!C436,卡牌图鉴!$C$2:$C$53,0))</f>
        <v>1.4</v>
      </c>
      <c r="M436" s="15">
        <f>INDEX(卡牌图鉴!$L$2:$L$53,MATCH(monster!C436,卡牌图鉴!$C$2:$C$53,0))</f>
        <v>4</v>
      </c>
      <c r="N436" s="15">
        <f>INDEX(卡牌图鉴!$AD$2:$AD$53,MATCH(monster!C436,卡牌图鉴!$C$2:$C$53,0))</f>
        <v>6</v>
      </c>
      <c r="O436" s="78">
        <f>INDEX(卡牌图鉴!$K$2:$K$53,MATCH(monster!C436,卡牌图鉴!$C$2:$C$53,0))</f>
        <v>4</v>
      </c>
    </row>
    <row r="437" spans="1:15" x14ac:dyDescent="0.15">
      <c r="A437" s="31">
        <v>1234</v>
      </c>
      <c r="B437" s="31" t="s">
        <v>327</v>
      </c>
      <c r="C437" s="31">
        <v>1228</v>
      </c>
      <c r="D437" s="15">
        <f>INDEX(卡牌图鉴!$S$2:$S$53,MATCH(monster!C437,卡牌图鉴!$C$2:$C$53,0))</f>
        <v>5</v>
      </c>
      <c r="E437" s="31">
        <v>6</v>
      </c>
      <c r="F437" s="15">
        <f>INT(INDEX(卡牌图鉴!$AB$2:$AB$53,MATCH(monster!C437,卡牌图鉴!$C$2:$C$57,0)) * INDEX(数值规划表!$B$61:$B$71,monster!E437+1) * 血量调整)</f>
        <v>1040</v>
      </c>
      <c r="G437" s="15">
        <f>ROUND(INDEX(卡牌图鉴!$AB$2:$AB$53,MATCH(monster!C437,卡牌图鉴!$C$2:$C$57,0)) * INDEX(数值规划表!$D$61:$D$71,monster!E437+1)*血量调整,2)</f>
        <v>31.2</v>
      </c>
      <c r="H437" s="15">
        <f>ROUND(INDEX(卡牌图鉴!$AA$2:$AA$53,MATCH(monster!C437,卡牌图鉴!$C$2:$C$53,0)) * INDEX(数值规划表!$C$61:$C$71,monster!E437+1),2)</f>
        <v>225.35</v>
      </c>
      <c r="I437" s="15">
        <f>ROUND(INDEX(卡牌图鉴!$AA$2:$AA$53,MATCH(monster!C437,卡牌图鉴!$C$2:$C$53,0)) * INDEX(数值规划表!$E$61:$E$71,monster!E437+1),2)</f>
        <v>6.76</v>
      </c>
      <c r="J437" s="15">
        <f>INDEX(卡牌图鉴!$J$2:$J$53,MATCH(monster!C437,卡牌图鉴!$C$2:$C$53,0))</f>
        <v>1.2</v>
      </c>
      <c r="K437" s="15">
        <f>INDEX(卡牌图鉴!$S$2:$S$53,MATCH(monster!C437,卡牌图鉴!$C$2:$C$53,0))</f>
        <v>5</v>
      </c>
      <c r="L437" s="15">
        <f>INDEX(卡牌图鉴!$H$2:$H$53,MATCH(monster!C437,卡牌图鉴!$C$2:$C$53,0))</f>
        <v>1.4</v>
      </c>
      <c r="M437" s="15">
        <f>INDEX(卡牌图鉴!$L$2:$L$53,MATCH(monster!C437,卡牌图鉴!$C$2:$C$53,0))</f>
        <v>4</v>
      </c>
      <c r="N437" s="15">
        <f>INDEX(卡牌图鉴!$AD$2:$AD$53,MATCH(monster!C437,卡牌图鉴!$C$2:$C$53,0))</f>
        <v>6</v>
      </c>
      <c r="O437" s="78">
        <f>INDEX(卡牌图鉴!$K$2:$K$53,MATCH(monster!C437,卡牌图鉴!$C$2:$C$53,0))</f>
        <v>4</v>
      </c>
    </row>
    <row r="438" spans="1:15" x14ac:dyDescent="0.15">
      <c r="A438" s="31">
        <v>1235</v>
      </c>
      <c r="B438" s="31" t="s">
        <v>328</v>
      </c>
      <c r="C438" s="31">
        <v>1228</v>
      </c>
      <c r="D438" s="15">
        <f>INDEX(卡牌图鉴!$S$2:$S$53,MATCH(monster!C438,卡牌图鉴!$C$2:$C$53,0))</f>
        <v>5</v>
      </c>
      <c r="E438" s="31">
        <v>7</v>
      </c>
      <c r="F438" s="15">
        <f>INT(INDEX(卡牌图鉴!$AB$2:$AB$53,MATCH(monster!C438,卡牌图鉴!$C$2:$C$57,0)) * INDEX(数值规划表!$B$61:$B$71,monster!E438+1) * 血量调整)</f>
        <v>1164</v>
      </c>
      <c r="G438" s="15">
        <f>ROUND(INDEX(卡牌图鉴!$AB$2:$AB$53,MATCH(monster!C438,卡牌图鉴!$C$2:$C$57,0)) * INDEX(数值规划表!$D$61:$D$71,monster!E438+1)*血量调整,2)</f>
        <v>34.950000000000003</v>
      </c>
      <c r="H438" s="15">
        <f>ROUND(INDEX(卡牌图鉴!$AA$2:$AA$53,MATCH(monster!C438,卡牌图鉴!$C$2:$C$53,0)) * INDEX(数值规划表!$C$61:$C$71,monster!E438+1),2)</f>
        <v>252.39</v>
      </c>
      <c r="I438" s="15">
        <f>ROUND(INDEX(卡牌图鉴!$AA$2:$AA$53,MATCH(monster!C438,卡牌图鉴!$C$2:$C$53,0)) * INDEX(数值规划表!$E$61:$E$71,monster!E438+1),2)</f>
        <v>7.57</v>
      </c>
      <c r="J438" s="15">
        <f>INDEX(卡牌图鉴!$J$2:$J$53,MATCH(monster!C438,卡牌图鉴!$C$2:$C$53,0))</f>
        <v>1.2</v>
      </c>
      <c r="K438" s="15">
        <f>INDEX(卡牌图鉴!$S$2:$S$53,MATCH(monster!C438,卡牌图鉴!$C$2:$C$53,0))</f>
        <v>5</v>
      </c>
      <c r="L438" s="15">
        <f>INDEX(卡牌图鉴!$H$2:$H$53,MATCH(monster!C438,卡牌图鉴!$C$2:$C$53,0))</f>
        <v>1.4</v>
      </c>
      <c r="M438" s="15">
        <f>INDEX(卡牌图鉴!$L$2:$L$53,MATCH(monster!C438,卡牌图鉴!$C$2:$C$53,0))</f>
        <v>4</v>
      </c>
      <c r="N438" s="15">
        <f>INDEX(卡牌图鉴!$AD$2:$AD$53,MATCH(monster!C438,卡牌图鉴!$C$2:$C$53,0))</f>
        <v>6</v>
      </c>
      <c r="O438" s="78">
        <f>INDEX(卡牌图鉴!$K$2:$K$53,MATCH(monster!C438,卡牌图鉴!$C$2:$C$53,0))</f>
        <v>4</v>
      </c>
    </row>
    <row r="439" spans="1:15" x14ac:dyDescent="0.15">
      <c r="A439" s="31">
        <v>1236</v>
      </c>
      <c r="B439" s="31" t="s">
        <v>329</v>
      </c>
      <c r="C439" s="31">
        <v>1228</v>
      </c>
      <c r="D439" s="15">
        <f>INDEX(卡牌图鉴!$S$2:$S$53,MATCH(monster!C439,卡牌图鉴!$C$2:$C$53,0))</f>
        <v>5</v>
      </c>
      <c r="E439" s="31">
        <v>8</v>
      </c>
      <c r="F439" s="15">
        <f>INT(INDEX(卡牌图鉴!$AB$2:$AB$53,MATCH(monster!C439,卡牌图鉴!$C$2:$C$57,0)) * INDEX(数值规划表!$B$61:$B$71,monster!E439+1) * 血量调整)</f>
        <v>1304</v>
      </c>
      <c r="G439" s="15">
        <f>ROUND(INDEX(卡牌图鉴!$AB$2:$AB$53,MATCH(monster!C439,卡牌图鉴!$C$2:$C$57,0)) * INDEX(数值规划表!$D$61:$D$71,monster!E439+1)*血量调整,2)</f>
        <v>39.14</v>
      </c>
      <c r="H439" s="15">
        <f>ROUND(INDEX(卡牌图鉴!$AA$2:$AA$53,MATCH(monster!C439,卡牌图鉴!$C$2:$C$53,0)) * INDEX(数值规划表!$C$61:$C$71,monster!E439+1),2)</f>
        <v>282.68</v>
      </c>
      <c r="I439" s="15">
        <f>ROUND(INDEX(卡牌图鉴!$AA$2:$AA$53,MATCH(monster!C439,卡牌图鉴!$C$2:$C$53,0)) * INDEX(数值规划表!$E$61:$E$71,monster!E439+1),2)</f>
        <v>8.48</v>
      </c>
      <c r="J439" s="15">
        <f>INDEX(卡牌图鉴!$J$2:$J$53,MATCH(monster!C439,卡牌图鉴!$C$2:$C$53,0))</f>
        <v>1.2</v>
      </c>
      <c r="K439" s="15">
        <f>INDEX(卡牌图鉴!$S$2:$S$53,MATCH(monster!C439,卡牌图鉴!$C$2:$C$53,0))</f>
        <v>5</v>
      </c>
      <c r="L439" s="15">
        <f>INDEX(卡牌图鉴!$H$2:$H$53,MATCH(monster!C439,卡牌图鉴!$C$2:$C$53,0))</f>
        <v>1.4</v>
      </c>
      <c r="M439" s="15">
        <f>INDEX(卡牌图鉴!$L$2:$L$53,MATCH(monster!C439,卡牌图鉴!$C$2:$C$53,0))</f>
        <v>4</v>
      </c>
      <c r="N439" s="15">
        <f>INDEX(卡牌图鉴!$AD$2:$AD$53,MATCH(monster!C439,卡牌图鉴!$C$2:$C$53,0))</f>
        <v>6</v>
      </c>
      <c r="O439" s="78">
        <f>INDEX(卡牌图鉴!$K$2:$K$53,MATCH(monster!C439,卡牌图鉴!$C$2:$C$53,0))</f>
        <v>4</v>
      </c>
    </row>
    <row r="440" spans="1:15" x14ac:dyDescent="0.15">
      <c r="A440" s="31">
        <v>1237</v>
      </c>
      <c r="B440" s="31" t="s">
        <v>330</v>
      </c>
      <c r="C440" s="31">
        <v>1228</v>
      </c>
      <c r="D440" s="15">
        <f>INDEX(卡牌图鉴!$S$2:$S$53,MATCH(monster!C440,卡牌图鉴!$C$2:$C$53,0))</f>
        <v>5</v>
      </c>
      <c r="E440" s="31">
        <v>9</v>
      </c>
      <c r="F440" s="15">
        <f>INT(INDEX(卡牌图鉴!$AB$2:$AB$53,MATCH(monster!C440,卡牌图鉴!$C$2:$C$57,0)) * INDEX(数值规划表!$B$61:$B$71,monster!E440+1) * 血量调整)</f>
        <v>1461</v>
      </c>
      <c r="G440" s="15">
        <f>ROUND(INDEX(卡牌图鉴!$AB$2:$AB$53,MATCH(monster!C440,卡牌图鉴!$C$2:$C$57,0)) * INDEX(数值规划表!$D$61:$D$71,monster!E440+1)*血量调整,2)</f>
        <v>43.84</v>
      </c>
      <c r="H440" s="15">
        <f>ROUND(INDEX(卡牌图鉴!$AA$2:$AA$53,MATCH(monster!C440,卡牌图鉴!$C$2:$C$53,0)) * INDEX(数值规划表!$C$61:$C$71,monster!E440+1),2)</f>
        <v>316.60000000000002</v>
      </c>
      <c r="I440" s="15">
        <f>ROUND(INDEX(卡牌图鉴!$AA$2:$AA$53,MATCH(monster!C440,卡牌图鉴!$C$2:$C$53,0)) * INDEX(数值规划表!$E$61:$E$71,monster!E440+1),2)</f>
        <v>9.5</v>
      </c>
      <c r="J440" s="15">
        <f>INDEX(卡牌图鉴!$J$2:$J$53,MATCH(monster!C440,卡牌图鉴!$C$2:$C$53,0))</f>
        <v>1.2</v>
      </c>
      <c r="K440" s="15">
        <f>INDEX(卡牌图鉴!$S$2:$S$53,MATCH(monster!C440,卡牌图鉴!$C$2:$C$53,0))</f>
        <v>5</v>
      </c>
      <c r="L440" s="15">
        <f>INDEX(卡牌图鉴!$H$2:$H$53,MATCH(monster!C440,卡牌图鉴!$C$2:$C$53,0))</f>
        <v>1.4</v>
      </c>
      <c r="M440" s="15">
        <f>INDEX(卡牌图鉴!$L$2:$L$53,MATCH(monster!C440,卡牌图鉴!$C$2:$C$53,0))</f>
        <v>4</v>
      </c>
      <c r="N440" s="15">
        <f>INDEX(卡牌图鉴!$AD$2:$AD$53,MATCH(monster!C440,卡牌图鉴!$C$2:$C$53,0))</f>
        <v>6</v>
      </c>
      <c r="O440" s="78">
        <f>INDEX(卡牌图鉴!$K$2:$K$53,MATCH(monster!C440,卡牌图鉴!$C$2:$C$53,0))</f>
        <v>4</v>
      </c>
    </row>
    <row r="441" spans="1:15" x14ac:dyDescent="0.15">
      <c r="A441" s="31">
        <v>1238</v>
      </c>
      <c r="B441" s="31" t="s">
        <v>331</v>
      </c>
      <c r="C441" s="31">
        <v>1228</v>
      </c>
      <c r="D441" s="15">
        <f>INDEX(卡牌图鉴!$S$2:$S$53,MATCH(monster!C441,卡牌图鉴!$C$2:$C$53,0))</f>
        <v>5</v>
      </c>
      <c r="E441" s="31">
        <v>10</v>
      </c>
      <c r="F441" s="15">
        <f>INT(INDEX(卡牌图鉴!$AB$2:$AB$53,MATCH(monster!C441,卡牌图鉴!$C$2:$C$57,0)) * INDEX(数值规划表!$B$61:$B$71,monster!E441+1) * 血量调整)</f>
        <v>1636</v>
      </c>
      <c r="G441" s="15">
        <f>ROUND(INDEX(卡牌图鉴!$AB$2:$AB$53,MATCH(monster!C441,卡牌图鉴!$C$2:$C$57,0)) * INDEX(数值规划表!$D$61:$D$71,monster!E441+1)*血量调整,2)</f>
        <v>49.1</v>
      </c>
      <c r="H441" s="15">
        <f>ROUND(INDEX(卡牌图鉴!$AA$2:$AA$53,MATCH(monster!C441,卡牌图鉴!$C$2:$C$53,0)) * INDEX(数值规划表!$C$61:$C$71,monster!E441+1),2)</f>
        <v>354.59</v>
      </c>
      <c r="I441" s="15">
        <f>ROUND(INDEX(卡牌图鉴!$AA$2:$AA$53,MATCH(monster!C441,卡牌图鉴!$C$2:$C$53,0)) * INDEX(数值规划表!$E$61:$E$71,monster!E441+1),2)</f>
        <v>10.64</v>
      </c>
      <c r="J441" s="15">
        <f>INDEX(卡牌图鉴!$J$2:$J$53,MATCH(monster!C441,卡牌图鉴!$C$2:$C$53,0))</f>
        <v>1.2</v>
      </c>
      <c r="K441" s="15">
        <f>INDEX(卡牌图鉴!$S$2:$S$53,MATCH(monster!C441,卡牌图鉴!$C$2:$C$53,0))</f>
        <v>5</v>
      </c>
      <c r="L441" s="15">
        <f>INDEX(卡牌图鉴!$H$2:$H$53,MATCH(monster!C441,卡牌图鉴!$C$2:$C$53,0))</f>
        <v>1.4</v>
      </c>
      <c r="M441" s="15">
        <f>INDEX(卡牌图鉴!$L$2:$L$53,MATCH(monster!C441,卡牌图鉴!$C$2:$C$53,0))</f>
        <v>4</v>
      </c>
      <c r="N441" s="15">
        <f>INDEX(卡牌图鉴!$AD$2:$AD$53,MATCH(monster!C441,卡牌图鉴!$C$2:$C$53,0))</f>
        <v>6</v>
      </c>
      <c r="O441" s="78">
        <f>INDEX(卡牌图鉴!$K$2:$K$53,MATCH(monster!C441,卡牌图鉴!$C$2:$C$53,0))</f>
        <v>4</v>
      </c>
    </row>
    <row r="442" spans="1:15" x14ac:dyDescent="0.15">
      <c r="A442" s="31">
        <v>1105</v>
      </c>
      <c r="B442" s="31" t="s">
        <v>1472</v>
      </c>
      <c r="C442" s="31">
        <v>1105</v>
      </c>
      <c r="D442" s="15">
        <f>INDEX(卡牌图鉴!$S$2:$S$53,MATCH(monster!C442,卡牌图鉴!$C$2:$C$53,0))</f>
        <v>4</v>
      </c>
      <c r="E442" s="31">
        <v>0</v>
      </c>
      <c r="F442" s="15">
        <f>INT(INDEX(卡牌图鉴!$AB$2:$AB$53,MATCH(monster!C442,卡牌图鉴!$C$2:$C$57,0)) * INDEX(数值规划表!$B$61:$B$71,monster!E442+1) * 血量调整)</f>
        <v>233</v>
      </c>
      <c r="G442" s="15">
        <f>ROUND(INDEX(卡牌图鉴!$AB$2:$AB$53,MATCH(monster!C442,卡牌图鉴!$C$2:$C$57,0)) * INDEX(数值规划表!$D$61:$D$71,monster!E442+1)*血量调整,2)</f>
        <v>6.99</v>
      </c>
      <c r="H442" s="15">
        <f>ROUND(INDEX(卡牌图鉴!$AA$2:$AA$53,MATCH(monster!C442,卡牌图鉴!$C$2:$C$53,0)) * INDEX(数值规划表!$C$61:$C$71,monster!E442+1),2)</f>
        <v>51.87</v>
      </c>
      <c r="I442" s="15">
        <f>ROUND(INDEX(卡牌图鉴!$AA$2:$AA$53,MATCH(monster!C442,卡牌图鉴!$C$2:$C$53,0)) * INDEX(数值规划表!$E$61:$E$71,monster!E442+1),2)</f>
        <v>1.56</v>
      </c>
      <c r="J442" s="15">
        <f>INDEX(卡牌图鉴!$J$2:$J$53,MATCH(monster!C442,卡牌图鉴!$C$2:$C$53,0))</f>
        <v>5</v>
      </c>
      <c r="K442" s="15">
        <f>INDEX(卡牌图鉴!$S$2:$S$53,MATCH(monster!C442,卡牌图鉴!$C$2:$C$53,0))</f>
        <v>4</v>
      </c>
      <c r="L442" s="15">
        <f>INDEX(卡牌图鉴!$H$2:$H$53,MATCH(monster!C442,卡牌图鉴!$C$2:$C$53,0))</f>
        <v>1.4</v>
      </c>
      <c r="M442" s="15">
        <f>INDEX(卡牌图鉴!$L$2:$L$53,MATCH(monster!C442,卡牌图鉴!$C$2:$C$53,0))</f>
        <v>3</v>
      </c>
      <c r="N442" s="15">
        <f>INDEX(卡牌图鉴!$AD$2:$AD$53,MATCH(monster!C442,卡牌图鉴!$C$2:$C$53,0))</f>
        <v>8</v>
      </c>
      <c r="O442" s="78">
        <f>INDEX(卡牌图鉴!$K$2:$K$53,MATCH(monster!C442,卡牌图鉴!$C$2:$C$53,0))</f>
        <v>3</v>
      </c>
    </row>
    <row r="443" spans="1:15" x14ac:dyDescent="0.15">
      <c r="A443" s="31">
        <v>1106</v>
      </c>
      <c r="B443" s="31" t="s">
        <v>1473</v>
      </c>
      <c r="C443" s="31">
        <v>1105</v>
      </c>
      <c r="D443" s="15">
        <f>INDEX(卡牌图鉴!$S$2:$S$53,MATCH(monster!C443,卡牌图鉴!$C$2:$C$53,0))</f>
        <v>4</v>
      </c>
      <c r="E443" s="31">
        <v>1</v>
      </c>
      <c r="F443" s="15">
        <f>INT(INDEX(卡牌图鉴!$AB$2:$AB$53,MATCH(monster!C443,卡牌图鉴!$C$2:$C$57,0)) * INDEX(数值规划表!$B$61:$B$71,monster!E443+1) * 血量调整)</f>
        <v>261</v>
      </c>
      <c r="G443" s="15">
        <f>ROUND(INDEX(卡牌图鉴!$AB$2:$AB$53,MATCH(monster!C443,卡牌图鉴!$C$2:$C$57,0)) * INDEX(数值规划表!$D$61:$D$71,monster!E443+1)*血量调整,2)</f>
        <v>7.83</v>
      </c>
      <c r="H443" s="15">
        <f>ROUND(INDEX(卡牌图鉴!$AA$2:$AA$53,MATCH(monster!C443,卡牌图鉴!$C$2:$C$53,0)) * INDEX(数值规划表!$C$61:$C$71,monster!E443+1),2)</f>
        <v>58.09</v>
      </c>
      <c r="I443" s="15">
        <f>ROUND(INDEX(卡牌图鉴!$AA$2:$AA$53,MATCH(monster!C443,卡牌图鉴!$C$2:$C$53,0)) * INDEX(数值规划表!$E$61:$E$71,monster!E443+1),2)</f>
        <v>1.74</v>
      </c>
      <c r="J443" s="15">
        <f>INDEX(卡牌图鉴!$J$2:$J$53,MATCH(monster!C443,卡牌图鉴!$C$2:$C$53,0))</f>
        <v>5</v>
      </c>
      <c r="K443" s="15">
        <f>INDEX(卡牌图鉴!$S$2:$S$53,MATCH(monster!C443,卡牌图鉴!$C$2:$C$53,0))</f>
        <v>4</v>
      </c>
      <c r="L443" s="15">
        <f>INDEX(卡牌图鉴!$H$2:$H$53,MATCH(monster!C443,卡牌图鉴!$C$2:$C$53,0))</f>
        <v>1.4</v>
      </c>
      <c r="M443" s="15">
        <f>INDEX(卡牌图鉴!$L$2:$L$53,MATCH(monster!C443,卡牌图鉴!$C$2:$C$53,0))</f>
        <v>3</v>
      </c>
      <c r="N443" s="15">
        <f>INDEX(卡牌图鉴!$AD$2:$AD$53,MATCH(monster!C443,卡牌图鉴!$C$2:$C$53,0))</f>
        <v>8</v>
      </c>
      <c r="O443" s="78">
        <f>INDEX(卡牌图鉴!$K$2:$K$53,MATCH(monster!C443,卡牌图鉴!$C$2:$C$53,0))</f>
        <v>3</v>
      </c>
    </row>
    <row r="444" spans="1:15" x14ac:dyDescent="0.15">
      <c r="A444" s="31">
        <v>1107</v>
      </c>
      <c r="B444" s="31" t="s">
        <v>232</v>
      </c>
      <c r="C444" s="31">
        <v>1105</v>
      </c>
      <c r="D444" s="15">
        <f>INDEX(卡牌图鉴!$S$2:$S$53,MATCH(monster!C444,卡牌图鉴!$C$2:$C$53,0))</f>
        <v>4</v>
      </c>
      <c r="E444" s="31">
        <v>2</v>
      </c>
      <c r="F444" s="15">
        <f>INT(INDEX(卡牌图鉴!$AB$2:$AB$53,MATCH(monster!C444,卡牌图鉴!$C$2:$C$57,0)) * INDEX(数值规划表!$B$61:$B$71,monster!E444+1) * 血量调整)</f>
        <v>292</v>
      </c>
      <c r="G444" s="15">
        <f>ROUND(INDEX(卡牌图鉴!$AB$2:$AB$53,MATCH(monster!C444,卡牌图鉴!$C$2:$C$57,0)) * INDEX(数值规划表!$D$61:$D$71,monster!E444+1)*血量调整,2)</f>
        <v>8.77</v>
      </c>
      <c r="H444" s="15">
        <f>ROUND(INDEX(卡牌图鉴!$AA$2:$AA$53,MATCH(monster!C444,卡牌图鉴!$C$2:$C$53,0)) * INDEX(数值规划表!$C$61:$C$71,monster!E444+1),2)</f>
        <v>65.069999999999993</v>
      </c>
      <c r="I444" s="15">
        <f>ROUND(INDEX(卡牌图鉴!$AA$2:$AA$53,MATCH(monster!C444,卡牌图鉴!$C$2:$C$53,0)) * INDEX(数值规划表!$E$61:$E$71,monster!E444+1),2)</f>
        <v>1.95</v>
      </c>
      <c r="J444" s="15">
        <f>INDEX(卡牌图鉴!$J$2:$J$53,MATCH(monster!C444,卡牌图鉴!$C$2:$C$53,0))</f>
        <v>5</v>
      </c>
      <c r="K444" s="15">
        <f>INDEX(卡牌图鉴!$S$2:$S$53,MATCH(monster!C444,卡牌图鉴!$C$2:$C$53,0))</f>
        <v>4</v>
      </c>
      <c r="L444" s="15">
        <f>INDEX(卡牌图鉴!$H$2:$H$53,MATCH(monster!C444,卡牌图鉴!$C$2:$C$53,0))</f>
        <v>1.4</v>
      </c>
      <c r="M444" s="15">
        <f>INDEX(卡牌图鉴!$L$2:$L$53,MATCH(monster!C444,卡牌图鉴!$C$2:$C$53,0))</f>
        <v>3</v>
      </c>
      <c r="N444" s="15">
        <f>INDEX(卡牌图鉴!$AD$2:$AD$53,MATCH(monster!C444,卡牌图鉴!$C$2:$C$53,0))</f>
        <v>8</v>
      </c>
      <c r="O444" s="78">
        <f>INDEX(卡牌图鉴!$K$2:$K$53,MATCH(monster!C444,卡牌图鉴!$C$2:$C$53,0))</f>
        <v>3</v>
      </c>
    </row>
    <row r="445" spans="1:15" x14ac:dyDescent="0.15">
      <c r="A445" s="31">
        <v>1108</v>
      </c>
      <c r="B445" s="31" t="s">
        <v>233</v>
      </c>
      <c r="C445" s="31">
        <v>1105</v>
      </c>
      <c r="D445" s="15">
        <f>INDEX(卡牌图鉴!$S$2:$S$53,MATCH(monster!C445,卡牌图鉴!$C$2:$C$53,0))</f>
        <v>4</v>
      </c>
      <c r="E445" s="31">
        <v>3</v>
      </c>
      <c r="F445" s="15">
        <f>INT(INDEX(卡牌图鉴!$AB$2:$AB$53,MATCH(monster!C445,卡牌图鉴!$C$2:$C$57,0)) * INDEX(数值规划表!$B$61:$B$71,monster!E445+1) * 血量调整)</f>
        <v>327</v>
      </c>
      <c r="G445" s="15">
        <f>ROUND(INDEX(卡牌图鉴!$AB$2:$AB$53,MATCH(monster!C445,卡牌图鉴!$C$2:$C$57,0)) * INDEX(数值规划表!$D$61:$D$71,monster!E445+1)*血量调整,2)</f>
        <v>9.83</v>
      </c>
      <c r="H445" s="15">
        <f>ROUND(INDEX(卡牌图鉴!$AA$2:$AA$53,MATCH(monster!C445,卡牌图鉴!$C$2:$C$53,0)) * INDEX(数值规划表!$C$61:$C$71,monster!E445+1),2)</f>
        <v>72.87</v>
      </c>
      <c r="I445" s="15">
        <f>ROUND(INDEX(卡牌图鉴!$AA$2:$AA$53,MATCH(monster!C445,卡牌图鉴!$C$2:$C$53,0)) * INDEX(数值规划表!$E$61:$E$71,monster!E445+1),2)</f>
        <v>2.19</v>
      </c>
      <c r="J445" s="15">
        <f>INDEX(卡牌图鉴!$J$2:$J$53,MATCH(monster!C445,卡牌图鉴!$C$2:$C$53,0))</f>
        <v>5</v>
      </c>
      <c r="K445" s="15">
        <f>INDEX(卡牌图鉴!$S$2:$S$53,MATCH(monster!C445,卡牌图鉴!$C$2:$C$53,0))</f>
        <v>4</v>
      </c>
      <c r="L445" s="15">
        <f>INDEX(卡牌图鉴!$H$2:$H$53,MATCH(monster!C445,卡牌图鉴!$C$2:$C$53,0))</f>
        <v>1.4</v>
      </c>
      <c r="M445" s="15">
        <f>INDEX(卡牌图鉴!$L$2:$L$53,MATCH(monster!C445,卡牌图鉴!$C$2:$C$53,0))</f>
        <v>3</v>
      </c>
      <c r="N445" s="15">
        <f>INDEX(卡牌图鉴!$AD$2:$AD$53,MATCH(monster!C445,卡牌图鉴!$C$2:$C$53,0))</f>
        <v>8</v>
      </c>
      <c r="O445" s="78">
        <f>INDEX(卡牌图鉴!$K$2:$K$53,MATCH(monster!C445,卡牌图鉴!$C$2:$C$53,0))</f>
        <v>3</v>
      </c>
    </row>
    <row r="446" spans="1:15" x14ac:dyDescent="0.15">
      <c r="A446" s="31">
        <v>1109</v>
      </c>
      <c r="B446" s="31" t="s">
        <v>234</v>
      </c>
      <c r="C446" s="31">
        <v>1105</v>
      </c>
      <c r="D446" s="15">
        <f>INDEX(卡牌图鉴!$S$2:$S$53,MATCH(monster!C446,卡牌图鉴!$C$2:$C$53,0))</f>
        <v>4</v>
      </c>
      <c r="E446" s="31">
        <v>4</v>
      </c>
      <c r="F446" s="15">
        <f>INT(INDEX(卡牌图鉴!$AB$2:$AB$53,MATCH(monster!C446,卡牌图鉴!$C$2:$C$57,0)) * INDEX(数值规划表!$B$61:$B$71,monster!E446+1) * 血量调整)</f>
        <v>366</v>
      </c>
      <c r="G446" s="15">
        <f>ROUND(INDEX(卡牌图鉴!$AB$2:$AB$53,MATCH(monster!C446,卡牌图鉴!$C$2:$C$57,0)) * INDEX(数值规划表!$D$61:$D$71,monster!E446+1)*血量调整,2)</f>
        <v>11.01</v>
      </c>
      <c r="H446" s="15">
        <f>ROUND(INDEX(卡牌图鉴!$AA$2:$AA$53,MATCH(monster!C446,卡牌图鉴!$C$2:$C$53,0)) * INDEX(数值规划表!$C$61:$C$71,monster!E446+1),2)</f>
        <v>81.62</v>
      </c>
      <c r="I446" s="15">
        <f>ROUND(INDEX(卡牌图鉴!$AA$2:$AA$53,MATCH(monster!C446,卡牌图鉴!$C$2:$C$53,0)) * INDEX(数值规划表!$E$61:$E$71,monster!E446+1),2)</f>
        <v>2.4500000000000002</v>
      </c>
      <c r="J446" s="15">
        <f>INDEX(卡牌图鉴!$J$2:$J$53,MATCH(monster!C446,卡牌图鉴!$C$2:$C$53,0))</f>
        <v>5</v>
      </c>
      <c r="K446" s="15">
        <f>INDEX(卡牌图鉴!$S$2:$S$53,MATCH(monster!C446,卡牌图鉴!$C$2:$C$53,0))</f>
        <v>4</v>
      </c>
      <c r="L446" s="15">
        <f>INDEX(卡牌图鉴!$H$2:$H$53,MATCH(monster!C446,卡牌图鉴!$C$2:$C$53,0))</f>
        <v>1.4</v>
      </c>
      <c r="M446" s="15">
        <f>INDEX(卡牌图鉴!$L$2:$L$53,MATCH(monster!C446,卡牌图鉴!$C$2:$C$53,0))</f>
        <v>3</v>
      </c>
      <c r="N446" s="15">
        <f>INDEX(卡牌图鉴!$AD$2:$AD$53,MATCH(monster!C446,卡牌图鉴!$C$2:$C$53,0))</f>
        <v>8</v>
      </c>
      <c r="O446" s="78">
        <f>INDEX(卡牌图鉴!$K$2:$K$53,MATCH(monster!C446,卡牌图鉴!$C$2:$C$53,0))</f>
        <v>3</v>
      </c>
    </row>
    <row r="447" spans="1:15" x14ac:dyDescent="0.15">
      <c r="A447" s="31">
        <v>1110</v>
      </c>
      <c r="B447" s="31" t="s">
        <v>235</v>
      </c>
      <c r="C447" s="31">
        <v>1105</v>
      </c>
      <c r="D447" s="15">
        <f>INDEX(卡牌图鉴!$S$2:$S$53,MATCH(monster!C447,卡牌图鉴!$C$2:$C$53,0))</f>
        <v>4</v>
      </c>
      <c r="E447" s="31">
        <v>5</v>
      </c>
      <c r="F447" s="15">
        <f>INT(INDEX(卡牌图鉴!$AB$2:$AB$53,MATCH(monster!C447,卡牌图鉴!$C$2:$C$57,0)) * INDEX(数值规划表!$B$61:$B$71,monster!E447+1) * 血量调整)</f>
        <v>410</v>
      </c>
      <c r="G447" s="15">
        <f>ROUND(INDEX(卡牌图鉴!$AB$2:$AB$53,MATCH(monster!C447,卡牌图鉴!$C$2:$C$57,0)) * INDEX(数值规划表!$D$61:$D$71,monster!E447+1)*血量调整,2)</f>
        <v>12.33</v>
      </c>
      <c r="H447" s="15">
        <f>ROUND(INDEX(卡牌图鉴!$AA$2:$AA$53,MATCH(monster!C447,卡牌图鉴!$C$2:$C$53,0)) * INDEX(数值规划表!$C$61:$C$71,monster!E447+1),2)</f>
        <v>91.41</v>
      </c>
      <c r="I447" s="15">
        <f>ROUND(INDEX(卡牌图鉴!$AA$2:$AA$53,MATCH(monster!C447,卡牌图鉴!$C$2:$C$53,0)) * INDEX(数值规划表!$E$61:$E$71,monster!E447+1),2)</f>
        <v>2.74</v>
      </c>
      <c r="J447" s="15">
        <f>INDEX(卡牌图鉴!$J$2:$J$53,MATCH(monster!C447,卡牌图鉴!$C$2:$C$53,0))</f>
        <v>5</v>
      </c>
      <c r="K447" s="15">
        <f>INDEX(卡牌图鉴!$S$2:$S$53,MATCH(monster!C447,卡牌图鉴!$C$2:$C$53,0))</f>
        <v>4</v>
      </c>
      <c r="L447" s="15">
        <f>INDEX(卡牌图鉴!$H$2:$H$53,MATCH(monster!C447,卡牌图鉴!$C$2:$C$53,0))</f>
        <v>1.4</v>
      </c>
      <c r="M447" s="15">
        <f>INDEX(卡牌图鉴!$L$2:$L$53,MATCH(monster!C447,卡牌图鉴!$C$2:$C$53,0))</f>
        <v>3</v>
      </c>
      <c r="N447" s="15">
        <f>INDEX(卡牌图鉴!$AD$2:$AD$53,MATCH(monster!C447,卡牌图鉴!$C$2:$C$53,0))</f>
        <v>8</v>
      </c>
      <c r="O447" s="78">
        <f>INDEX(卡牌图鉴!$K$2:$K$53,MATCH(monster!C447,卡牌图鉴!$C$2:$C$53,0))</f>
        <v>3</v>
      </c>
    </row>
    <row r="448" spans="1:15" x14ac:dyDescent="0.15">
      <c r="A448" s="31">
        <v>1111</v>
      </c>
      <c r="B448" s="31" t="s">
        <v>236</v>
      </c>
      <c r="C448" s="31">
        <v>1105</v>
      </c>
      <c r="D448" s="15">
        <f>INDEX(卡牌图鉴!$S$2:$S$53,MATCH(monster!C448,卡牌图鉴!$C$2:$C$53,0))</f>
        <v>4</v>
      </c>
      <c r="E448" s="31">
        <v>6</v>
      </c>
      <c r="F448" s="15">
        <f>INT(INDEX(卡牌图鉴!$AB$2:$AB$53,MATCH(monster!C448,卡牌图鉴!$C$2:$C$57,0)) * INDEX(数值规划表!$B$61:$B$71,monster!E448+1) * 血量调整)</f>
        <v>460</v>
      </c>
      <c r="G448" s="15">
        <f>ROUND(INDEX(卡牌图鉴!$AB$2:$AB$53,MATCH(monster!C448,卡牌图鉴!$C$2:$C$57,0)) * INDEX(数值规划表!$D$61:$D$71,monster!E448+1)*血量调整,2)</f>
        <v>13.81</v>
      </c>
      <c r="H448" s="15">
        <f>ROUND(INDEX(卡牌图鉴!$AA$2:$AA$53,MATCH(monster!C448,卡牌图鉴!$C$2:$C$53,0)) * INDEX(数值规划表!$C$61:$C$71,monster!E448+1),2)</f>
        <v>102.38</v>
      </c>
      <c r="I448" s="15">
        <f>ROUND(INDEX(卡牌图鉴!$AA$2:$AA$53,MATCH(monster!C448,卡牌图鉴!$C$2:$C$53,0)) * INDEX(数值规划表!$E$61:$E$71,monster!E448+1),2)</f>
        <v>3.07</v>
      </c>
      <c r="J448" s="15">
        <f>INDEX(卡牌图鉴!$J$2:$J$53,MATCH(monster!C448,卡牌图鉴!$C$2:$C$53,0))</f>
        <v>5</v>
      </c>
      <c r="K448" s="15">
        <f>INDEX(卡牌图鉴!$S$2:$S$53,MATCH(monster!C448,卡牌图鉴!$C$2:$C$53,0))</f>
        <v>4</v>
      </c>
      <c r="L448" s="15">
        <f>INDEX(卡牌图鉴!$H$2:$H$53,MATCH(monster!C448,卡牌图鉴!$C$2:$C$53,0))</f>
        <v>1.4</v>
      </c>
      <c r="M448" s="15">
        <f>INDEX(卡牌图鉴!$L$2:$L$53,MATCH(monster!C448,卡牌图鉴!$C$2:$C$53,0))</f>
        <v>3</v>
      </c>
      <c r="N448" s="15">
        <f>INDEX(卡牌图鉴!$AD$2:$AD$53,MATCH(monster!C448,卡牌图鉴!$C$2:$C$53,0))</f>
        <v>8</v>
      </c>
      <c r="O448" s="78">
        <f>INDEX(卡牌图鉴!$K$2:$K$53,MATCH(monster!C448,卡牌图鉴!$C$2:$C$53,0))</f>
        <v>3</v>
      </c>
    </row>
    <row r="449" spans="1:15" x14ac:dyDescent="0.15">
      <c r="A449" s="31">
        <v>1112</v>
      </c>
      <c r="B449" s="31" t="s">
        <v>237</v>
      </c>
      <c r="C449" s="31">
        <v>1105</v>
      </c>
      <c r="D449" s="15">
        <f>INDEX(卡牌图鉴!$S$2:$S$53,MATCH(monster!C449,卡牌图鉴!$C$2:$C$53,0))</f>
        <v>4</v>
      </c>
      <c r="E449" s="31">
        <v>7</v>
      </c>
      <c r="F449" s="15">
        <f>INT(INDEX(卡牌图鉴!$AB$2:$AB$53,MATCH(monster!C449,卡牌图鉴!$C$2:$C$57,0)) * INDEX(数值规划表!$B$61:$B$71,monster!E449+1) * 血量调整)</f>
        <v>515</v>
      </c>
      <c r="G449" s="15">
        <f>ROUND(INDEX(卡牌图鉴!$AB$2:$AB$53,MATCH(monster!C449,卡牌图鉴!$C$2:$C$57,0)) * INDEX(数值规划表!$D$61:$D$71,monster!E449+1)*血量调整,2)</f>
        <v>15.46</v>
      </c>
      <c r="H449" s="15">
        <f>ROUND(INDEX(卡牌图鉴!$AA$2:$AA$53,MATCH(monster!C449,卡牌图鉴!$C$2:$C$53,0)) * INDEX(数值规划表!$C$61:$C$71,monster!E449+1),2)</f>
        <v>114.67</v>
      </c>
      <c r="I449" s="15">
        <f>ROUND(INDEX(卡牌图鉴!$AA$2:$AA$53,MATCH(monster!C449,卡牌图鉴!$C$2:$C$53,0)) * INDEX(数值规划表!$E$61:$E$71,monster!E449+1),2)</f>
        <v>3.44</v>
      </c>
      <c r="J449" s="15">
        <f>INDEX(卡牌图鉴!$J$2:$J$53,MATCH(monster!C449,卡牌图鉴!$C$2:$C$53,0))</f>
        <v>5</v>
      </c>
      <c r="K449" s="15">
        <f>INDEX(卡牌图鉴!$S$2:$S$53,MATCH(monster!C449,卡牌图鉴!$C$2:$C$53,0))</f>
        <v>4</v>
      </c>
      <c r="L449" s="15">
        <f>INDEX(卡牌图鉴!$H$2:$H$53,MATCH(monster!C449,卡牌图鉴!$C$2:$C$53,0))</f>
        <v>1.4</v>
      </c>
      <c r="M449" s="15">
        <f>INDEX(卡牌图鉴!$L$2:$L$53,MATCH(monster!C449,卡牌图鉴!$C$2:$C$53,0))</f>
        <v>3</v>
      </c>
      <c r="N449" s="15">
        <f>INDEX(卡牌图鉴!$AD$2:$AD$53,MATCH(monster!C449,卡牌图鉴!$C$2:$C$53,0))</f>
        <v>8</v>
      </c>
      <c r="O449" s="78">
        <f>INDEX(卡牌图鉴!$K$2:$K$53,MATCH(monster!C449,卡牌图鉴!$C$2:$C$53,0))</f>
        <v>3</v>
      </c>
    </row>
    <row r="450" spans="1:15" x14ac:dyDescent="0.15">
      <c r="A450" s="31">
        <v>1113</v>
      </c>
      <c r="B450" s="31" t="s">
        <v>238</v>
      </c>
      <c r="C450" s="31">
        <v>1105</v>
      </c>
      <c r="D450" s="15">
        <f>INDEX(卡牌图鉴!$S$2:$S$53,MATCH(monster!C450,卡牌图鉴!$C$2:$C$53,0))</f>
        <v>4</v>
      </c>
      <c r="E450" s="31">
        <v>8</v>
      </c>
      <c r="F450" s="15">
        <f>INT(INDEX(卡牌图鉴!$AB$2:$AB$53,MATCH(monster!C450,卡牌图鉴!$C$2:$C$57,0)) * INDEX(数值规划表!$B$61:$B$71,monster!E450+1) * 血量调整)</f>
        <v>577</v>
      </c>
      <c r="G450" s="15">
        <f>ROUND(INDEX(卡牌图鉴!$AB$2:$AB$53,MATCH(monster!C450,卡牌图鉴!$C$2:$C$57,0)) * INDEX(数值规划表!$D$61:$D$71,monster!E450+1)*血量调整,2)</f>
        <v>17.32</v>
      </c>
      <c r="H450" s="15">
        <f>ROUND(INDEX(卡牌图鉴!$AA$2:$AA$53,MATCH(monster!C450,卡牌图鉴!$C$2:$C$53,0)) * INDEX(数值规划表!$C$61:$C$71,monster!E450+1),2)</f>
        <v>128.43</v>
      </c>
      <c r="I450" s="15">
        <f>ROUND(INDEX(卡牌图鉴!$AA$2:$AA$53,MATCH(monster!C450,卡牌图鉴!$C$2:$C$53,0)) * INDEX(数值规划表!$E$61:$E$71,monster!E450+1),2)</f>
        <v>3.85</v>
      </c>
      <c r="J450" s="15">
        <f>INDEX(卡牌图鉴!$J$2:$J$53,MATCH(monster!C450,卡牌图鉴!$C$2:$C$53,0))</f>
        <v>5</v>
      </c>
      <c r="K450" s="15">
        <f>INDEX(卡牌图鉴!$S$2:$S$53,MATCH(monster!C450,卡牌图鉴!$C$2:$C$53,0))</f>
        <v>4</v>
      </c>
      <c r="L450" s="15">
        <f>INDEX(卡牌图鉴!$H$2:$H$53,MATCH(monster!C450,卡牌图鉴!$C$2:$C$53,0))</f>
        <v>1.4</v>
      </c>
      <c r="M450" s="15">
        <f>INDEX(卡牌图鉴!$L$2:$L$53,MATCH(monster!C450,卡牌图鉴!$C$2:$C$53,0))</f>
        <v>3</v>
      </c>
      <c r="N450" s="15">
        <f>INDEX(卡牌图鉴!$AD$2:$AD$53,MATCH(monster!C450,卡牌图鉴!$C$2:$C$53,0))</f>
        <v>8</v>
      </c>
      <c r="O450" s="78">
        <f>INDEX(卡牌图鉴!$K$2:$K$53,MATCH(monster!C450,卡牌图鉴!$C$2:$C$53,0))</f>
        <v>3</v>
      </c>
    </row>
    <row r="451" spans="1:15" x14ac:dyDescent="0.15">
      <c r="A451" s="31">
        <v>1114</v>
      </c>
      <c r="B451" s="31" t="s">
        <v>239</v>
      </c>
      <c r="C451" s="31">
        <v>1105</v>
      </c>
      <c r="D451" s="15">
        <f>INDEX(卡牌图鉴!$S$2:$S$53,MATCH(monster!C451,卡牌图鉴!$C$2:$C$53,0))</f>
        <v>4</v>
      </c>
      <c r="E451" s="31">
        <v>9</v>
      </c>
      <c r="F451" s="15">
        <f>INT(INDEX(卡牌图鉴!$AB$2:$AB$53,MATCH(monster!C451,卡牌图鉴!$C$2:$C$57,0)) * INDEX(数值规划表!$B$61:$B$71,monster!E451+1) * 血量调整)</f>
        <v>646</v>
      </c>
      <c r="G451" s="15">
        <f>ROUND(INDEX(卡牌图鉴!$AB$2:$AB$53,MATCH(monster!C451,卡牌图鉴!$C$2:$C$57,0)) * INDEX(数值规划表!$D$61:$D$71,monster!E451+1)*血量调整,2)</f>
        <v>19.399999999999999</v>
      </c>
      <c r="H451" s="15">
        <f>ROUND(INDEX(卡牌图鉴!$AA$2:$AA$53,MATCH(monster!C451,卡牌图鉴!$C$2:$C$53,0)) * INDEX(数值规划表!$C$61:$C$71,monster!E451+1),2)</f>
        <v>143.84</v>
      </c>
      <c r="I451" s="15">
        <f>ROUND(INDEX(卡牌图鉴!$AA$2:$AA$53,MATCH(monster!C451,卡牌图鉴!$C$2:$C$53,0)) * INDEX(数值规划表!$E$61:$E$71,monster!E451+1),2)</f>
        <v>4.32</v>
      </c>
      <c r="J451" s="15">
        <f>INDEX(卡牌图鉴!$J$2:$J$53,MATCH(monster!C451,卡牌图鉴!$C$2:$C$53,0))</f>
        <v>5</v>
      </c>
      <c r="K451" s="15">
        <f>INDEX(卡牌图鉴!$S$2:$S$53,MATCH(monster!C451,卡牌图鉴!$C$2:$C$53,0))</f>
        <v>4</v>
      </c>
      <c r="L451" s="15">
        <f>INDEX(卡牌图鉴!$H$2:$H$53,MATCH(monster!C451,卡牌图鉴!$C$2:$C$53,0))</f>
        <v>1.4</v>
      </c>
      <c r="M451" s="15">
        <f>INDEX(卡牌图鉴!$L$2:$L$53,MATCH(monster!C451,卡牌图鉴!$C$2:$C$53,0))</f>
        <v>3</v>
      </c>
      <c r="N451" s="15">
        <f>INDEX(卡牌图鉴!$AD$2:$AD$53,MATCH(monster!C451,卡牌图鉴!$C$2:$C$53,0))</f>
        <v>8</v>
      </c>
      <c r="O451" s="78">
        <f>INDEX(卡牌图鉴!$K$2:$K$53,MATCH(monster!C451,卡牌图鉴!$C$2:$C$53,0))</f>
        <v>3</v>
      </c>
    </row>
    <row r="452" spans="1:15" x14ac:dyDescent="0.15">
      <c r="A452" s="31">
        <v>1115</v>
      </c>
      <c r="B452" s="31" t="s">
        <v>240</v>
      </c>
      <c r="C452" s="31">
        <v>1105</v>
      </c>
      <c r="D452" s="15">
        <f>INDEX(卡牌图鉴!$S$2:$S$53,MATCH(monster!C452,卡牌图鉴!$C$2:$C$53,0))</f>
        <v>4</v>
      </c>
      <c r="E452" s="31">
        <v>10</v>
      </c>
      <c r="F452" s="15">
        <f>INT(INDEX(卡牌图鉴!$AB$2:$AB$53,MATCH(monster!C452,卡牌图鉴!$C$2:$C$57,0)) * INDEX(数值规划表!$B$61:$B$71,monster!E452+1) * 血量调整)</f>
        <v>724</v>
      </c>
      <c r="G452" s="15">
        <f>ROUND(INDEX(卡牌图鉴!$AB$2:$AB$53,MATCH(monster!C452,卡牌图鉴!$C$2:$C$57,0)) * INDEX(数值规划表!$D$61:$D$71,monster!E452+1)*血量调整,2)</f>
        <v>21.72</v>
      </c>
      <c r="H452" s="15">
        <f>ROUND(INDEX(卡牌图鉴!$AA$2:$AA$53,MATCH(monster!C452,卡牌图鉴!$C$2:$C$53,0)) * INDEX(数值规划表!$C$61:$C$71,monster!E452+1),2)</f>
        <v>161.1</v>
      </c>
      <c r="I452" s="15">
        <f>ROUND(INDEX(卡牌图鉴!$AA$2:$AA$53,MATCH(monster!C452,卡牌图鉴!$C$2:$C$53,0)) * INDEX(数值规划表!$E$61:$E$71,monster!E452+1),2)</f>
        <v>4.83</v>
      </c>
      <c r="J452" s="15">
        <f>INDEX(卡牌图鉴!$J$2:$J$53,MATCH(monster!C452,卡牌图鉴!$C$2:$C$53,0))</f>
        <v>5</v>
      </c>
      <c r="K452" s="15">
        <f>INDEX(卡牌图鉴!$S$2:$S$53,MATCH(monster!C452,卡牌图鉴!$C$2:$C$53,0))</f>
        <v>4</v>
      </c>
      <c r="L452" s="15">
        <f>INDEX(卡牌图鉴!$H$2:$H$53,MATCH(monster!C452,卡牌图鉴!$C$2:$C$53,0))</f>
        <v>1.4</v>
      </c>
      <c r="M452" s="15">
        <f>INDEX(卡牌图鉴!$L$2:$L$53,MATCH(monster!C452,卡牌图鉴!$C$2:$C$53,0))</f>
        <v>3</v>
      </c>
      <c r="N452" s="15">
        <f>INDEX(卡牌图鉴!$AD$2:$AD$53,MATCH(monster!C452,卡牌图鉴!$C$2:$C$53,0))</f>
        <v>8</v>
      </c>
      <c r="O452" s="78">
        <f>INDEX(卡牌图鉴!$K$2:$K$53,MATCH(monster!C452,卡牌图鉴!$C$2:$C$53,0))</f>
        <v>3</v>
      </c>
    </row>
    <row r="453" spans="1:15" x14ac:dyDescent="0.15">
      <c r="A453" s="31">
        <v>1217</v>
      </c>
      <c r="B453" s="31" t="s">
        <v>1364</v>
      </c>
      <c r="C453" s="31">
        <v>1217</v>
      </c>
      <c r="D453" s="15">
        <f>INDEX(卡牌图鉴!$S$2:$S$53,MATCH(monster!C453,卡牌图鉴!$C$2:$C$53,0))</f>
        <v>4</v>
      </c>
      <c r="E453" s="31">
        <v>0</v>
      </c>
      <c r="F453" s="15">
        <f>INT(INDEX(卡牌图鉴!$AB$2:$AB$53,MATCH(monster!C453,卡牌图鉴!$C$2:$C$57,0)) * INDEX(数值规划表!$B$61:$B$71,monster!E453+1) * 血量调整)</f>
        <v>318</v>
      </c>
      <c r="G453" s="15">
        <f>ROUND(INDEX(卡牌图鉴!$AB$2:$AB$53,MATCH(monster!C453,卡牌图鉴!$C$2:$C$57,0)) * INDEX(数值规划表!$D$61:$D$71,monster!E453+1)*血量调整,2)</f>
        <v>9.5399999999999991</v>
      </c>
      <c r="H453" s="15">
        <f>ROUND(INDEX(卡牌图鉴!$AA$2:$AA$53,MATCH(monster!C453,卡牌图鉴!$C$2:$C$53,0)) * INDEX(数值规划表!$C$61:$C$71,monster!E453+1),2)</f>
        <v>56.77</v>
      </c>
      <c r="I453" s="15">
        <f>ROUND(INDEX(卡牌图鉴!$AA$2:$AA$53,MATCH(monster!C453,卡牌图鉴!$C$2:$C$53,0)) * INDEX(数值规划表!$E$61:$E$71,monster!E453+1),2)</f>
        <v>1.7</v>
      </c>
      <c r="J453" s="15">
        <f>INDEX(卡牌图鉴!$J$2:$J$53,MATCH(monster!C453,卡牌图鉴!$C$2:$C$53,0))</f>
        <v>4</v>
      </c>
      <c r="K453" s="15">
        <f>INDEX(卡牌图鉴!$S$2:$S$53,MATCH(monster!C453,卡牌图鉴!$C$2:$C$53,0))</f>
        <v>4</v>
      </c>
      <c r="L453" s="15">
        <f>INDEX(卡牌图鉴!$H$2:$H$53,MATCH(monster!C453,卡牌图鉴!$C$2:$C$53,0))</f>
        <v>1.4</v>
      </c>
      <c r="M453" s="15">
        <f>INDEX(卡牌图鉴!$L$2:$L$53,MATCH(monster!C453,卡牌图鉴!$C$2:$C$53,0))</f>
        <v>4</v>
      </c>
      <c r="N453" s="15">
        <f>INDEX(卡牌图鉴!$AD$2:$AD$53,MATCH(monster!C453,卡牌图鉴!$C$2:$C$53,0))</f>
        <v>8</v>
      </c>
      <c r="O453" s="78">
        <f>INDEX(卡牌图鉴!$K$2:$K$53,MATCH(monster!C453,卡牌图鉴!$C$2:$C$53,0))</f>
        <v>4</v>
      </c>
    </row>
    <row r="454" spans="1:15" x14ac:dyDescent="0.15">
      <c r="A454" s="31">
        <v>1218</v>
      </c>
      <c r="B454" s="31" t="s">
        <v>1365</v>
      </c>
      <c r="C454" s="31">
        <v>1217</v>
      </c>
      <c r="D454" s="15">
        <f>INDEX(卡牌图鉴!$S$2:$S$53,MATCH(monster!C454,卡牌图鉴!$C$2:$C$53,0))</f>
        <v>4</v>
      </c>
      <c r="E454" s="31">
        <v>1</v>
      </c>
      <c r="F454" s="15">
        <f>INT(INDEX(卡牌图鉴!$AB$2:$AB$53,MATCH(monster!C454,卡牌图鉴!$C$2:$C$57,0)) * INDEX(数值规划表!$B$61:$B$71,monster!E454+1) * 血量调整)</f>
        <v>356</v>
      </c>
      <c r="G454" s="15">
        <f>ROUND(INDEX(卡牌图鉴!$AB$2:$AB$53,MATCH(monster!C454,卡牌图鉴!$C$2:$C$57,0)) * INDEX(数值规划表!$D$61:$D$71,monster!E454+1)*血量调整,2)</f>
        <v>10.69</v>
      </c>
      <c r="H454" s="15">
        <f>ROUND(INDEX(卡牌图鉴!$AA$2:$AA$53,MATCH(monster!C454,卡牌图鉴!$C$2:$C$53,0)) * INDEX(数值规划表!$C$61:$C$71,monster!E454+1),2)</f>
        <v>63.58</v>
      </c>
      <c r="I454" s="15">
        <f>ROUND(INDEX(卡牌图鉴!$AA$2:$AA$53,MATCH(monster!C454,卡牌图鉴!$C$2:$C$53,0)) * INDEX(数值规划表!$E$61:$E$71,monster!E454+1),2)</f>
        <v>1.91</v>
      </c>
      <c r="J454" s="15">
        <f>INDEX(卡牌图鉴!$J$2:$J$53,MATCH(monster!C454,卡牌图鉴!$C$2:$C$53,0))</f>
        <v>4</v>
      </c>
      <c r="K454" s="15">
        <f>INDEX(卡牌图鉴!$S$2:$S$53,MATCH(monster!C454,卡牌图鉴!$C$2:$C$53,0))</f>
        <v>4</v>
      </c>
      <c r="L454" s="15">
        <f>INDEX(卡牌图鉴!$H$2:$H$53,MATCH(monster!C454,卡牌图鉴!$C$2:$C$53,0))</f>
        <v>1.4</v>
      </c>
      <c r="M454" s="15">
        <f>INDEX(卡牌图鉴!$L$2:$L$53,MATCH(monster!C454,卡牌图鉴!$C$2:$C$53,0))</f>
        <v>4</v>
      </c>
      <c r="N454" s="15">
        <f>INDEX(卡牌图鉴!$AD$2:$AD$53,MATCH(monster!C454,卡牌图鉴!$C$2:$C$53,0))</f>
        <v>8</v>
      </c>
      <c r="O454" s="78">
        <f>INDEX(卡牌图鉴!$K$2:$K$53,MATCH(monster!C454,卡牌图鉴!$C$2:$C$53,0))</f>
        <v>4</v>
      </c>
    </row>
    <row r="455" spans="1:15" x14ac:dyDescent="0.15">
      <c r="A455" s="31">
        <v>1219</v>
      </c>
      <c r="B455" s="31" t="s">
        <v>314</v>
      </c>
      <c r="C455" s="31">
        <v>1217</v>
      </c>
      <c r="D455" s="15">
        <f>INDEX(卡牌图鉴!$S$2:$S$53,MATCH(monster!C455,卡牌图鉴!$C$2:$C$53,0))</f>
        <v>4</v>
      </c>
      <c r="E455" s="31">
        <v>2</v>
      </c>
      <c r="F455" s="15">
        <f>INT(INDEX(卡牌图鉴!$AB$2:$AB$53,MATCH(monster!C455,卡牌图鉴!$C$2:$C$57,0)) * INDEX(数值规划表!$B$61:$B$71,monster!E455+1) * 血量调整)</f>
        <v>398</v>
      </c>
      <c r="G455" s="15">
        <f>ROUND(INDEX(卡牌图鉴!$AB$2:$AB$53,MATCH(monster!C455,卡牌图鉴!$C$2:$C$57,0)) * INDEX(数值规划表!$D$61:$D$71,monster!E455+1)*血量调整,2)</f>
        <v>11.97</v>
      </c>
      <c r="H455" s="15">
        <f>ROUND(INDEX(卡牌图鉴!$AA$2:$AA$53,MATCH(monster!C455,卡牌图鉴!$C$2:$C$53,0)) * INDEX(数值规划表!$C$61:$C$71,monster!E455+1),2)</f>
        <v>71.209999999999994</v>
      </c>
      <c r="I455" s="15">
        <f>ROUND(INDEX(卡牌图鉴!$AA$2:$AA$53,MATCH(monster!C455,卡牌图鉴!$C$2:$C$53,0)) * INDEX(数值规划表!$E$61:$E$71,monster!E455+1),2)</f>
        <v>2.14</v>
      </c>
      <c r="J455" s="15">
        <f>INDEX(卡牌图鉴!$J$2:$J$53,MATCH(monster!C455,卡牌图鉴!$C$2:$C$53,0))</f>
        <v>4</v>
      </c>
      <c r="K455" s="15">
        <f>INDEX(卡牌图鉴!$S$2:$S$53,MATCH(monster!C455,卡牌图鉴!$C$2:$C$53,0))</f>
        <v>4</v>
      </c>
      <c r="L455" s="15">
        <f>INDEX(卡牌图鉴!$H$2:$H$53,MATCH(monster!C455,卡牌图鉴!$C$2:$C$53,0))</f>
        <v>1.4</v>
      </c>
      <c r="M455" s="15">
        <f>INDEX(卡牌图鉴!$L$2:$L$53,MATCH(monster!C455,卡牌图鉴!$C$2:$C$53,0))</f>
        <v>4</v>
      </c>
      <c r="N455" s="15">
        <f>INDEX(卡牌图鉴!$AD$2:$AD$53,MATCH(monster!C455,卡牌图鉴!$C$2:$C$53,0))</f>
        <v>8</v>
      </c>
      <c r="O455" s="78">
        <f>INDEX(卡牌图鉴!$K$2:$K$53,MATCH(monster!C455,卡牌图鉴!$C$2:$C$53,0))</f>
        <v>4</v>
      </c>
    </row>
    <row r="456" spans="1:15" x14ac:dyDescent="0.15">
      <c r="A456" s="31">
        <v>1220</v>
      </c>
      <c r="B456" s="31" t="s">
        <v>315</v>
      </c>
      <c r="C456" s="31">
        <v>1217</v>
      </c>
      <c r="D456" s="15">
        <f>INDEX(卡牌图鉴!$S$2:$S$53,MATCH(monster!C456,卡牌图鉴!$C$2:$C$53,0))</f>
        <v>4</v>
      </c>
      <c r="E456" s="31">
        <v>3</v>
      </c>
      <c r="F456" s="15">
        <f>INT(INDEX(卡牌图鉴!$AB$2:$AB$53,MATCH(monster!C456,卡牌图鉴!$C$2:$C$57,0)) * INDEX(数值规划表!$B$61:$B$71,monster!E456+1) * 血量调整)</f>
        <v>446</v>
      </c>
      <c r="G456" s="15">
        <f>ROUND(INDEX(卡牌图鉴!$AB$2:$AB$53,MATCH(monster!C456,卡牌图鉴!$C$2:$C$57,0)) * INDEX(数值规划表!$D$61:$D$71,monster!E456+1)*血量调整,2)</f>
        <v>13.4</v>
      </c>
      <c r="H456" s="15">
        <f>ROUND(INDEX(卡牌图鉴!$AA$2:$AA$53,MATCH(monster!C456,卡牌图鉴!$C$2:$C$53,0)) * INDEX(数值规划表!$C$61:$C$71,monster!E456+1),2)</f>
        <v>79.760000000000005</v>
      </c>
      <c r="I456" s="15">
        <f>ROUND(INDEX(卡牌图鉴!$AA$2:$AA$53,MATCH(monster!C456,卡牌图鉴!$C$2:$C$53,0)) * INDEX(数值规划表!$E$61:$E$71,monster!E456+1),2)</f>
        <v>2.39</v>
      </c>
      <c r="J456" s="15">
        <f>INDEX(卡牌图鉴!$J$2:$J$53,MATCH(monster!C456,卡牌图鉴!$C$2:$C$53,0))</f>
        <v>4</v>
      </c>
      <c r="K456" s="15">
        <f>INDEX(卡牌图鉴!$S$2:$S$53,MATCH(monster!C456,卡牌图鉴!$C$2:$C$53,0))</f>
        <v>4</v>
      </c>
      <c r="L456" s="15">
        <f>INDEX(卡牌图鉴!$H$2:$H$53,MATCH(monster!C456,卡牌图鉴!$C$2:$C$53,0))</f>
        <v>1.4</v>
      </c>
      <c r="M456" s="15">
        <f>INDEX(卡牌图鉴!$L$2:$L$53,MATCH(monster!C456,卡牌图鉴!$C$2:$C$53,0))</f>
        <v>4</v>
      </c>
      <c r="N456" s="15">
        <f>INDEX(卡牌图鉴!$AD$2:$AD$53,MATCH(monster!C456,卡牌图鉴!$C$2:$C$53,0))</f>
        <v>8</v>
      </c>
      <c r="O456" s="78">
        <f>INDEX(卡牌图鉴!$K$2:$K$53,MATCH(monster!C456,卡牌图鉴!$C$2:$C$53,0))</f>
        <v>4</v>
      </c>
    </row>
    <row r="457" spans="1:15" x14ac:dyDescent="0.15">
      <c r="A457" s="31">
        <v>1221</v>
      </c>
      <c r="B457" s="31" t="s">
        <v>316</v>
      </c>
      <c r="C457" s="31">
        <v>1217</v>
      </c>
      <c r="D457" s="15">
        <f>INDEX(卡牌图鉴!$S$2:$S$53,MATCH(monster!C457,卡牌图鉴!$C$2:$C$53,0))</f>
        <v>4</v>
      </c>
      <c r="E457" s="31">
        <v>4</v>
      </c>
      <c r="F457" s="15">
        <f>INT(INDEX(卡牌图鉴!$AB$2:$AB$53,MATCH(monster!C457,卡牌图鉴!$C$2:$C$57,0)) * INDEX(数值规划表!$B$61:$B$71,monster!E457+1) * 血量调整)</f>
        <v>500</v>
      </c>
      <c r="G457" s="15">
        <f>ROUND(INDEX(卡牌图鉴!$AB$2:$AB$53,MATCH(monster!C457,卡牌图鉴!$C$2:$C$57,0)) * INDEX(数值规划表!$D$61:$D$71,monster!E457+1)*血量调整,2)</f>
        <v>15.01</v>
      </c>
      <c r="H457" s="15">
        <f>ROUND(INDEX(卡牌图鉴!$AA$2:$AA$53,MATCH(monster!C457,卡牌图鉴!$C$2:$C$53,0)) * INDEX(数值规划表!$C$61:$C$71,monster!E457+1),2)</f>
        <v>89.33</v>
      </c>
      <c r="I457" s="15">
        <f>ROUND(INDEX(卡牌图鉴!$AA$2:$AA$53,MATCH(monster!C457,卡牌图鉴!$C$2:$C$53,0)) * INDEX(数值规划表!$E$61:$E$71,monster!E457+1),2)</f>
        <v>2.68</v>
      </c>
      <c r="J457" s="15">
        <f>INDEX(卡牌图鉴!$J$2:$J$53,MATCH(monster!C457,卡牌图鉴!$C$2:$C$53,0))</f>
        <v>4</v>
      </c>
      <c r="K457" s="15">
        <f>INDEX(卡牌图鉴!$S$2:$S$53,MATCH(monster!C457,卡牌图鉴!$C$2:$C$53,0))</f>
        <v>4</v>
      </c>
      <c r="L457" s="15">
        <f>INDEX(卡牌图鉴!$H$2:$H$53,MATCH(monster!C457,卡牌图鉴!$C$2:$C$53,0))</f>
        <v>1.4</v>
      </c>
      <c r="M457" s="15">
        <f>INDEX(卡牌图鉴!$L$2:$L$53,MATCH(monster!C457,卡牌图鉴!$C$2:$C$53,0))</f>
        <v>4</v>
      </c>
      <c r="N457" s="15">
        <f>INDEX(卡牌图鉴!$AD$2:$AD$53,MATCH(monster!C457,卡牌图鉴!$C$2:$C$53,0))</f>
        <v>8</v>
      </c>
      <c r="O457" s="78">
        <f>INDEX(卡牌图鉴!$K$2:$K$53,MATCH(monster!C457,卡牌图鉴!$C$2:$C$53,0))</f>
        <v>4</v>
      </c>
    </row>
    <row r="458" spans="1:15" x14ac:dyDescent="0.15">
      <c r="A458" s="31">
        <v>1222</v>
      </c>
      <c r="B458" s="31" t="s">
        <v>317</v>
      </c>
      <c r="C458" s="31">
        <v>1217</v>
      </c>
      <c r="D458" s="15">
        <f>INDEX(卡牌图鉴!$S$2:$S$53,MATCH(monster!C458,卡牌图鉴!$C$2:$C$53,0))</f>
        <v>4</v>
      </c>
      <c r="E458" s="31">
        <v>5</v>
      </c>
      <c r="F458" s="15">
        <f>INT(INDEX(卡牌图鉴!$AB$2:$AB$53,MATCH(monster!C458,卡牌图鉴!$C$2:$C$57,0)) * INDEX(数值规划表!$B$61:$B$71,monster!E458+1) * 血量调整)</f>
        <v>560</v>
      </c>
      <c r="G458" s="15">
        <f>ROUND(INDEX(卡牌图鉴!$AB$2:$AB$53,MATCH(monster!C458,卡牌图鉴!$C$2:$C$57,0)) * INDEX(数值规划表!$D$61:$D$71,monster!E458+1)*血量调整,2)</f>
        <v>16.809999999999999</v>
      </c>
      <c r="H458" s="15">
        <f>ROUND(INDEX(卡牌图鉴!$AA$2:$AA$53,MATCH(monster!C458,卡牌图鉴!$C$2:$C$53,0)) * INDEX(数值规划表!$C$61:$C$71,monster!E458+1),2)</f>
        <v>100.05</v>
      </c>
      <c r="I458" s="15">
        <f>ROUND(INDEX(卡牌图鉴!$AA$2:$AA$53,MATCH(monster!C458,卡牌图鉴!$C$2:$C$53,0)) * INDEX(数值规划表!$E$61:$E$71,monster!E458+1),2)</f>
        <v>3</v>
      </c>
      <c r="J458" s="15">
        <f>INDEX(卡牌图鉴!$J$2:$J$53,MATCH(monster!C458,卡牌图鉴!$C$2:$C$53,0))</f>
        <v>4</v>
      </c>
      <c r="K458" s="15">
        <f>INDEX(卡牌图鉴!$S$2:$S$53,MATCH(monster!C458,卡牌图鉴!$C$2:$C$53,0))</f>
        <v>4</v>
      </c>
      <c r="L458" s="15">
        <f>INDEX(卡牌图鉴!$H$2:$H$53,MATCH(monster!C458,卡牌图鉴!$C$2:$C$53,0))</f>
        <v>1.4</v>
      </c>
      <c r="M458" s="15">
        <f>INDEX(卡牌图鉴!$L$2:$L$53,MATCH(monster!C458,卡牌图鉴!$C$2:$C$53,0))</f>
        <v>4</v>
      </c>
      <c r="N458" s="15">
        <f>INDEX(卡牌图鉴!$AD$2:$AD$53,MATCH(monster!C458,卡牌图鉴!$C$2:$C$53,0))</f>
        <v>8</v>
      </c>
      <c r="O458" s="78">
        <f>INDEX(卡牌图鉴!$K$2:$K$53,MATCH(monster!C458,卡牌图鉴!$C$2:$C$53,0))</f>
        <v>4</v>
      </c>
    </row>
    <row r="459" spans="1:15" x14ac:dyDescent="0.15">
      <c r="A459" s="31">
        <v>1223</v>
      </c>
      <c r="B459" s="31" t="s">
        <v>318</v>
      </c>
      <c r="C459" s="31">
        <v>1217</v>
      </c>
      <c r="D459" s="15">
        <f>INDEX(卡牌图鉴!$S$2:$S$53,MATCH(monster!C459,卡牌图鉴!$C$2:$C$53,0))</f>
        <v>4</v>
      </c>
      <c r="E459" s="31">
        <v>6</v>
      </c>
      <c r="F459" s="15">
        <f>INT(INDEX(卡牌图鉴!$AB$2:$AB$53,MATCH(monster!C459,卡牌图鉴!$C$2:$C$57,0)) * INDEX(数值规划表!$B$61:$B$71,monster!E459+1) * 血量调整)</f>
        <v>627</v>
      </c>
      <c r="G459" s="15">
        <f>ROUND(INDEX(卡牌图鉴!$AB$2:$AB$53,MATCH(monster!C459,卡牌图鉴!$C$2:$C$57,0)) * INDEX(数值规划表!$D$61:$D$71,monster!E459+1)*血量调整,2)</f>
        <v>18.829999999999998</v>
      </c>
      <c r="H459" s="15">
        <f>ROUND(INDEX(卡牌图鉴!$AA$2:$AA$53,MATCH(monster!C459,卡牌图鉴!$C$2:$C$53,0)) * INDEX(数值规划表!$C$61:$C$71,monster!E459+1),2)</f>
        <v>112.05</v>
      </c>
      <c r="I459" s="15">
        <f>ROUND(INDEX(卡牌图鉴!$AA$2:$AA$53,MATCH(monster!C459,卡牌图鉴!$C$2:$C$53,0)) * INDEX(数值规划表!$E$61:$E$71,monster!E459+1),2)</f>
        <v>3.36</v>
      </c>
      <c r="J459" s="15">
        <f>INDEX(卡牌图鉴!$J$2:$J$53,MATCH(monster!C459,卡牌图鉴!$C$2:$C$53,0))</f>
        <v>4</v>
      </c>
      <c r="K459" s="15">
        <f>INDEX(卡牌图鉴!$S$2:$S$53,MATCH(monster!C459,卡牌图鉴!$C$2:$C$53,0))</f>
        <v>4</v>
      </c>
      <c r="L459" s="15">
        <f>INDEX(卡牌图鉴!$H$2:$H$53,MATCH(monster!C459,卡牌图鉴!$C$2:$C$53,0))</f>
        <v>1.4</v>
      </c>
      <c r="M459" s="15">
        <f>INDEX(卡牌图鉴!$L$2:$L$53,MATCH(monster!C459,卡牌图鉴!$C$2:$C$53,0))</f>
        <v>4</v>
      </c>
      <c r="N459" s="15">
        <f>INDEX(卡牌图鉴!$AD$2:$AD$53,MATCH(monster!C459,卡牌图鉴!$C$2:$C$53,0))</f>
        <v>8</v>
      </c>
      <c r="O459" s="78">
        <f>INDEX(卡牌图鉴!$K$2:$K$53,MATCH(monster!C459,卡牌图鉴!$C$2:$C$53,0))</f>
        <v>4</v>
      </c>
    </row>
    <row r="460" spans="1:15" x14ac:dyDescent="0.15">
      <c r="A460" s="31">
        <v>1224</v>
      </c>
      <c r="B460" s="31" t="s">
        <v>319</v>
      </c>
      <c r="C460" s="31">
        <v>1217</v>
      </c>
      <c r="D460" s="15">
        <f>INDEX(卡牌图鉴!$S$2:$S$53,MATCH(monster!C460,卡牌图鉴!$C$2:$C$53,0))</f>
        <v>4</v>
      </c>
      <c r="E460" s="31">
        <v>7</v>
      </c>
      <c r="F460" s="15">
        <f>INT(INDEX(卡牌图鉴!$AB$2:$AB$53,MATCH(monster!C460,卡牌图鉴!$C$2:$C$57,0)) * INDEX(数值规划表!$B$61:$B$71,monster!E460+1) * 血量调整)</f>
        <v>703</v>
      </c>
      <c r="G460" s="15">
        <f>ROUND(INDEX(卡牌图鉴!$AB$2:$AB$53,MATCH(monster!C460,卡牌图鉴!$C$2:$C$57,0)) * INDEX(数值规划表!$D$61:$D$71,monster!E460+1)*血量调整,2)</f>
        <v>21.09</v>
      </c>
      <c r="H460" s="15">
        <f>ROUND(INDEX(卡牌图鉴!$AA$2:$AA$53,MATCH(monster!C460,卡牌图鉴!$C$2:$C$53,0)) * INDEX(数值规划表!$C$61:$C$71,monster!E460+1),2)</f>
        <v>125.5</v>
      </c>
      <c r="I460" s="15">
        <f>ROUND(INDEX(卡牌图鉴!$AA$2:$AA$53,MATCH(monster!C460,卡牌图鉴!$C$2:$C$53,0)) * INDEX(数值规划表!$E$61:$E$71,monster!E460+1),2)</f>
        <v>3.77</v>
      </c>
      <c r="J460" s="15">
        <f>INDEX(卡牌图鉴!$J$2:$J$53,MATCH(monster!C460,卡牌图鉴!$C$2:$C$53,0))</f>
        <v>4</v>
      </c>
      <c r="K460" s="15">
        <f>INDEX(卡牌图鉴!$S$2:$S$53,MATCH(monster!C460,卡牌图鉴!$C$2:$C$53,0))</f>
        <v>4</v>
      </c>
      <c r="L460" s="15">
        <f>INDEX(卡牌图鉴!$H$2:$H$53,MATCH(monster!C460,卡牌图鉴!$C$2:$C$53,0))</f>
        <v>1.4</v>
      </c>
      <c r="M460" s="15">
        <f>INDEX(卡牌图鉴!$L$2:$L$53,MATCH(monster!C460,卡牌图鉴!$C$2:$C$53,0))</f>
        <v>4</v>
      </c>
      <c r="N460" s="15">
        <f>INDEX(卡牌图鉴!$AD$2:$AD$53,MATCH(monster!C460,卡牌图鉴!$C$2:$C$53,0))</f>
        <v>8</v>
      </c>
      <c r="O460" s="78">
        <f>INDEX(卡牌图鉴!$K$2:$K$53,MATCH(monster!C460,卡牌图鉴!$C$2:$C$53,0))</f>
        <v>4</v>
      </c>
    </row>
    <row r="461" spans="1:15" x14ac:dyDescent="0.15">
      <c r="A461" s="31">
        <v>1225</v>
      </c>
      <c r="B461" s="31" t="s">
        <v>320</v>
      </c>
      <c r="C461" s="31">
        <v>1217</v>
      </c>
      <c r="D461" s="15">
        <f>INDEX(卡牌图鉴!$S$2:$S$53,MATCH(monster!C461,卡牌图鉴!$C$2:$C$53,0))</f>
        <v>4</v>
      </c>
      <c r="E461" s="31">
        <v>8</v>
      </c>
      <c r="F461" s="15">
        <f>INT(INDEX(卡牌图鉴!$AB$2:$AB$53,MATCH(monster!C461,卡牌图鉴!$C$2:$C$57,0)) * INDEX(数值规划表!$B$61:$B$71,monster!E461+1) * 血量调整)</f>
        <v>787</v>
      </c>
      <c r="G461" s="15">
        <f>ROUND(INDEX(卡牌图鉴!$AB$2:$AB$53,MATCH(monster!C461,卡牌图鉴!$C$2:$C$57,0)) * INDEX(数值规划表!$D$61:$D$71,monster!E461+1)*血量调整,2)</f>
        <v>23.62</v>
      </c>
      <c r="H461" s="15">
        <f>ROUND(INDEX(卡牌图鉴!$AA$2:$AA$53,MATCH(monster!C461,卡牌图鉴!$C$2:$C$53,0)) * INDEX(数值规划表!$C$61:$C$71,monster!E461+1),2)</f>
        <v>140.56</v>
      </c>
      <c r="I461" s="15">
        <f>ROUND(INDEX(卡牌图鉴!$AA$2:$AA$53,MATCH(monster!C461,卡牌图鉴!$C$2:$C$53,0)) * INDEX(数值规划表!$E$61:$E$71,monster!E461+1),2)</f>
        <v>4.22</v>
      </c>
      <c r="J461" s="15">
        <f>INDEX(卡牌图鉴!$J$2:$J$53,MATCH(monster!C461,卡牌图鉴!$C$2:$C$53,0))</f>
        <v>4</v>
      </c>
      <c r="K461" s="15">
        <f>INDEX(卡牌图鉴!$S$2:$S$53,MATCH(monster!C461,卡牌图鉴!$C$2:$C$53,0))</f>
        <v>4</v>
      </c>
      <c r="L461" s="15">
        <f>INDEX(卡牌图鉴!$H$2:$H$53,MATCH(monster!C461,卡牌图鉴!$C$2:$C$53,0))</f>
        <v>1.4</v>
      </c>
      <c r="M461" s="15">
        <f>INDEX(卡牌图鉴!$L$2:$L$53,MATCH(monster!C461,卡牌图鉴!$C$2:$C$53,0))</f>
        <v>4</v>
      </c>
      <c r="N461" s="15">
        <f>INDEX(卡牌图鉴!$AD$2:$AD$53,MATCH(monster!C461,卡牌图鉴!$C$2:$C$53,0))</f>
        <v>8</v>
      </c>
      <c r="O461" s="78">
        <f>INDEX(卡牌图鉴!$K$2:$K$53,MATCH(monster!C461,卡牌图鉴!$C$2:$C$53,0))</f>
        <v>4</v>
      </c>
    </row>
    <row r="462" spans="1:15" x14ac:dyDescent="0.15">
      <c r="A462" s="31">
        <v>1226</v>
      </c>
      <c r="B462" s="31" t="s">
        <v>321</v>
      </c>
      <c r="C462" s="31">
        <v>1217</v>
      </c>
      <c r="D462" s="15">
        <f>INDEX(卡牌图鉴!$S$2:$S$53,MATCH(monster!C462,卡牌图鉴!$C$2:$C$53,0))</f>
        <v>4</v>
      </c>
      <c r="E462" s="31">
        <v>9</v>
      </c>
      <c r="F462" s="15">
        <f>INT(INDEX(卡牌图鉴!$AB$2:$AB$53,MATCH(monster!C462,卡牌图鉴!$C$2:$C$57,0)) * INDEX(数值规划表!$B$61:$B$71,monster!E462+1) * 血量调整)</f>
        <v>881</v>
      </c>
      <c r="G462" s="15">
        <f>ROUND(INDEX(卡牌图鉴!$AB$2:$AB$53,MATCH(monster!C462,卡牌图鉴!$C$2:$C$57,0)) * INDEX(数值规划表!$D$61:$D$71,monster!E462+1)*血量调整,2)</f>
        <v>26.46</v>
      </c>
      <c r="H462" s="15">
        <f>ROUND(INDEX(卡牌图鉴!$AA$2:$AA$53,MATCH(monster!C462,卡牌图鉴!$C$2:$C$53,0)) * INDEX(数值规划表!$C$61:$C$71,monster!E462+1),2)</f>
        <v>157.43</v>
      </c>
      <c r="I462" s="15">
        <f>ROUND(INDEX(卡牌图鉴!$AA$2:$AA$53,MATCH(monster!C462,卡牌图鉴!$C$2:$C$53,0)) * INDEX(数值规划表!$E$61:$E$71,monster!E462+1),2)</f>
        <v>4.72</v>
      </c>
      <c r="J462" s="15">
        <f>INDEX(卡牌图鉴!$J$2:$J$53,MATCH(monster!C462,卡牌图鉴!$C$2:$C$53,0))</f>
        <v>4</v>
      </c>
      <c r="K462" s="15">
        <f>INDEX(卡牌图鉴!$S$2:$S$53,MATCH(monster!C462,卡牌图鉴!$C$2:$C$53,0))</f>
        <v>4</v>
      </c>
      <c r="L462" s="15">
        <f>INDEX(卡牌图鉴!$H$2:$H$53,MATCH(monster!C462,卡牌图鉴!$C$2:$C$53,0))</f>
        <v>1.4</v>
      </c>
      <c r="M462" s="15">
        <f>INDEX(卡牌图鉴!$L$2:$L$53,MATCH(monster!C462,卡牌图鉴!$C$2:$C$53,0))</f>
        <v>4</v>
      </c>
      <c r="N462" s="15">
        <f>INDEX(卡牌图鉴!$AD$2:$AD$53,MATCH(monster!C462,卡牌图鉴!$C$2:$C$53,0))</f>
        <v>8</v>
      </c>
      <c r="O462" s="78">
        <f>INDEX(卡牌图鉴!$K$2:$K$53,MATCH(monster!C462,卡牌图鉴!$C$2:$C$53,0))</f>
        <v>4</v>
      </c>
    </row>
    <row r="463" spans="1:15" x14ac:dyDescent="0.15">
      <c r="A463" s="31">
        <v>1227</v>
      </c>
      <c r="B463" s="31" t="s">
        <v>322</v>
      </c>
      <c r="C463" s="31">
        <v>1217</v>
      </c>
      <c r="D463" s="15">
        <f>INDEX(卡牌图鉴!$S$2:$S$53,MATCH(monster!C463,卡牌图鉴!$C$2:$C$53,0))</f>
        <v>4</v>
      </c>
      <c r="E463" s="31">
        <v>10</v>
      </c>
      <c r="F463" s="15">
        <f>INT(INDEX(卡牌图鉴!$AB$2:$AB$53,MATCH(monster!C463,卡牌图鉴!$C$2:$C$57,0)) * INDEX(数值规划表!$B$61:$B$71,monster!E463+1) * 血量调整)</f>
        <v>987</v>
      </c>
      <c r="G463" s="15">
        <f>ROUND(INDEX(卡牌图鉴!$AB$2:$AB$53,MATCH(monster!C463,卡牌图鉴!$C$2:$C$57,0)) * INDEX(数值规划表!$D$61:$D$71,monster!E463+1)*血量调整,2)</f>
        <v>29.63</v>
      </c>
      <c r="H463" s="15">
        <f>ROUND(INDEX(卡牌图鉴!$AA$2:$AA$53,MATCH(monster!C463,卡牌图鉴!$C$2:$C$53,0)) * INDEX(数值规划表!$C$61:$C$71,monster!E463+1),2)</f>
        <v>176.32</v>
      </c>
      <c r="I463" s="15">
        <f>ROUND(INDEX(卡牌图鉴!$AA$2:$AA$53,MATCH(monster!C463,卡牌图鉴!$C$2:$C$53,0)) * INDEX(数值规划表!$E$61:$E$71,monster!E463+1),2)</f>
        <v>5.29</v>
      </c>
      <c r="J463" s="15">
        <f>INDEX(卡牌图鉴!$J$2:$J$53,MATCH(monster!C463,卡牌图鉴!$C$2:$C$53,0))</f>
        <v>4</v>
      </c>
      <c r="K463" s="15">
        <f>INDEX(卡牌图鉴!$S$2:$S$53,MATCH(monster!C463,卡牌图鉴!$C$2:$C$53,0))</f>
        <v>4</v>
      </c>
      <c r="L463" s="15">
        <f>INDEX(卡牌图鉴!$H$2:$H$53,MATCH(monster!C463,卡牌图鉴!$C$2:$C$53,0))</f>
        <v>1.4</v>
      </c>
      <c r="M463" s="15">
        <f>INDEX(卡牌图鉴!$L$2:$L$53,MATCH(monster!C463,卡牌图鉴!$C$2:$C$53,0))</f>
        <v>4</v>
      </c>
      <c r="N463" s="15">
        <f>INDEX(卡牌图鉴!$AD$2:$AD$53,MATCH(monster!C463,卡牌图鉴!$C$2:$C$53,0))</f>
        <v>8</v>
      </c>
      <c r="O463" s="78">
        <f>INDEX(卡牌图鉴!$K$2:$K$53,MATCH(monster!C463,卡牌图鉴!$C$2:$C$53,0))</f>
        <v>4</v>
      </c>
    </row>
    <row r="464" spans="1:15" x14ac:dyDescent="0.15">
      <c r="A464" s="31">
        <v>1384</v>
      </c>
      <c r="B464" s="31" t="s">
        <v>1474</v>
      </c>
      <c r="C464" s="31">
        <v>1384</v>
      </c>
      <c r="D464" s="15">
        <f>INDEX(卡牌图鉴!$S$2:$S$53,MATCH(monster!C464,卡牌图鉴!$C$2:$C$53,0))</f>
        <v>4</v>
      </c>
      <c r="E464" s="31">
        <v>0</v>
      </c>
      <c r="F464" s="15">
        <f>INT(INDEX(卡牌图鉴!$AB$2:$AB$53,MATCH(monster!C464,卡牌图鉴!$C$2:$C$57,0)) * INDEX(数值规划表!$B$61:$B$71,monster!E464+1) * 血量调整)</f>
        <v>233</v>
      </c>
      <c r="G464" s="15">
        <f>ROUND(INDEX(卡牌图鉴!$AB$2:$AB$53,MATCH(monster!C464,卡牌图鉴!$C$2:$C$57,0)) * INDEX(数值规划表!$D$61:$D$71,monster!E464+1)*血量调整,2)</f>
        <v>6.99</v>
      </c>
      <c r="H464" s="15">
        <f>ROUND(INDEX(卡牌图鉴!$AA$2:$AA$53,MATCH(monster!C464,卡牌图鉴!$C$2:$C$53,0)) * INDEX(数值规划表!$C$61:$C$71,monster!E464+1),2)</f>
        <v>38.9</v>
      </c>
      <c r="I464" s="15">
        <f>ROUND(INDEX(卡牌图鉴!$AA$2:$AA$53,MATCH(monster!C464,卡牌图鉴!$C$2:$C$53,0)) * INDEX(数值规划表!$E$61:$E$71,monster!E464+1),2)</f>
        <v>1.17</v>
      </c>
      <c r="J464" s="15">
        <f>INDEX(卡牌图鉴!$J$2:$J$53,MATCH(monster!C464,卡牌图鉴!$C$2:$C$53,0))</f>
        <v>5</v>
      </c>
      <c r="K464" s="15">
        <f>INDEX(卡牌图鉴!$S$2:$S$53,MATCH(monster!C464,卡牌图鉴!$C$2:$C$53,0))</f>
        <v>4</v>
      </c>
      <c r="L464" s="15">
        <f>INDEX(卡牌图鉴!$H$2:$H$53,MATCH(monster!C464,卡牌图鉴!$C$2:$C$53,0))</f>
        <v>1.4</v>
      </c>
      <c r="M464" s="15">
        <f>INDEX(卡牌图鉴!$L$2:$L$53,MATCH(monster!C464,卡牌图鉴!$C$2:$C$53,0))</f>
        <v>3</v>
      </c>
      <c r="N464" s="15">
        <f>INDEX(卡牌图鉴!$AD$2:$AD$53,MATCH(monster!C464,卡牌图鉴!$C$2:$C$53,0))</f>
        <v>8</v>
      </c>
      <c r="O464" s="78">
        <f>INDEX(卡牌图鉴!$K$2:$K$53,MATCH(monster!C464,卡牌图鉴!$C$2:$C$53,0))</f>
        <v>3</v>
      </c>
    </row>
    <row r="465" spans="1:15" x14ac:dyDescent="0.15">
      <c r="A465" s="31">
        <v>1385</v>
      </c>
      <c r="B465" s="31" t="s">
        <v>444</v>
      </c>
      <c r="C465" s="31">
        <v>1384</v>
      </c>
      <c r="D465" s="15">
        <f>INDEX(卡牌图鉴!$S$2:$S$53,MATCH(monster!C465,卡牌图鉴!$C$2:$C$53,0))</f>
        <v>4</v>
      </c>
      <c r="E465" s="31">
        <v>1</v>
      </c>
      <c r="F465" s="15">
        <f>INT(INDEX(卡牌图鉴!$AB$2:$AB$53,MATCH(monster!C465,卡牌图鉴!$C$2:$C$57,0)) * INDEX(数值规划表!$B$61:$B$71,monster!E465+1) * 血量调整)</f>
        <v>261</v>
      </c>
      <c r="G465" s="15">
        <f>ROUND(INDEX(卡牌图鉴!$AB$2:$AB$53,MATCH(monster!C465,卡牌图鉴!$C$2:$C$57,0)) * INDEX(数值规划表!$D$61:$D$71,monster!E465+1)*血量调整,2)</f>
        <v>7.83</v>
      </c>
      <c r="H465" s="15">
        <f>ROUND(INDEX(卡牌图鉴!$AA$2:$AA$53,MATCH(monster!C465,卡牌图鉴!$C$2:$C$53,0)) * INDEX(数值规划表!$C$61:$C$71,monster!E465+1),2)</f>
        <v>43.57</v>
      </c>
      <c r="I465" s="15">
        <f>ROUND(INDEX(卡牌图鉴!$AA$2:$AA$53,MATCH(monster!C465,卡牌图鉴!$C$2:$C$53,0)) * INDEX(数值规划表!$E$61:$E$71,monster!E465+1),2)</f>
        <v>1.31</v>
      </c>
      <c r="J465" s="15">
        <f>INDEX(卡牌图鉴!$J$2:$J$53,MATCH(monster!C465,卡牌图鉴!$C$2:$C$53,0))</f>
        <v>5</v>
      </c>
      <c r="K465" s="15">
        <f>INDEX(卡牌图鉴!$S$2:$S$53,MATCH(monster!C465,卡牌图鉴!$C$2:$C$53,0))</f>
        <v>4</v>
      </c>
      <c r="L465" s="15">
        <f>INDEX(卡牌图鉴!$H$2:$H$53,MATCH(monster!C465,卡牌图鉴!$C$2:$C$53,0))</f>
        <v>1.4</v>
      </c>
      <c r="M465" s="15">
        <f>INDEX(卡牌图鉴!$L$2:$L$53,MATCH(monster!C465,卡牌图鉴!$C$2:$C$53,0))</f>
        <v>3</v>
      </c>
      <c r="N465" s="15">
        <f>INDEX(卡牌图鉴!$AD$2:$AD$53,MATCH(monster!C465,卡牌图鉴!$C$2:$C$53,0))</f>
        <v>8</v>
      </c>
      <c r="O465" s="78">
        <f>INDEX(卡牌图鉴!$K$2:$K$53,MATCH(monster!C465,卡牌图鉴!$C$2:$C$53,0))</f>
        <v>3</v>
      </c>
    </row>
    <row r="466" spans="1:15" x14ac:dyDescent="0.15">
      <c r="A466" s="31">
        <v>1386</v>
      </c>
      <c r="B466" s="31" t="s">
        <v>445</v>
      </c>
      <c r="C466" s="31">
        <v>1384</v>
      </c>
      <c r="D466" s="15">
        <f>INDEX(卡牌图鉴!$S$2:$S$53,MATCH(monster!C466,卡牌图鉴!$C$2:$C$53,0))</f>
        <v>4</v>
      </c>
      <c r="E466" s="31">
        <v>2</v>
      </c>
      <c r="F466" s="15">
        <f>INT(INDEX(卡牌图鉴!$AB$2:$AB$53,MATCH(monster!C466,卡牌图鉴!$C$2:$C$57,0)) * INDEX(数值规划表!$B$61:$B$71,monster!E466+1) * 血量调整)</f>
        <v>292</v>
      </c>
      <c r="G466" s="15">
        <f>ROUND(INDEX(卡牌图鉴!$AB$2:$AB$53,MATCH(monster!C466,卡牌图鉴!$C$2:$C$57,0)) * INDEX(数值规划表!$D$61:$D$71,monster!E466+1)*血量调整,2)</f>
        <v>8.77</v>
      </c>
      <c r="H466" s="15">
        <f>ROUND(INDEX(卡牌图鉴!$AA$2:$AA$53,MATCH(monster!C466,卡牌图鉴!$C$2:$C$53,0)) * INDEX(数值规划表!$C$61:$C$71,monster!E466+1),2)</f>
        <v>48.8</v>
      </c>
      <c r="I466" s="15">
        <f>ROUND(INDEX(卡牌图鉴!$AA$2:$AA$53,MATCH(monster!C466,卡牌图鉴!$C$2:$C$53,0)) * INDEX(数值规划表!$E$61:$E$71,monster!E466+1),2)</f>
        <v>1.46</v>
      </c>
      <c r="J466" s="15">
        <f>INDEX(卡牌图鉴!$J$2:$J$53,MATCH(monster!C466,卡牌图鉴!$C$2:$C$53,0))</f>
        <v>5</v>
      </c>
      <c r="K466" s="15">
        <f>INDEX(卡牌图鉴!$S$2:$S$53,MATCH(monster!C466,卡牌图鉴!$C$2:$C$53,0))</f>
        <v>4</v>
      </c>
      <c r="L466" s="15">
        <f>INDEX(卡牌图鉴!$H$2:$H$53,MATCH(monster!C466,卡牌图鉴!$C$2:$C$53,0))</f>
        <v>1.4</v>
      </c>
      <c r="M466" s="15">
        <f>INDEX(卡牌图鉴!$L$2:$L$53,MATCH(monster!C466,卡牌图鉴!$C$2:$C$53,0))</f>
        <v>3</v>
      </c>
      <c r="N466" s="15">
        <f>INDEX(卡牌图鉴!$AD$2:$AD$53,MATCH(monster!C466,卡牌图鉴!$C$2:$C$53,0))</f>
        <v>8</v>
      </c>
      <c r="O466" s="78">
        <f>INDEX(卡牌图鉴!$K$2:$K$53,MATCH(monster!C466,卡牌图鉴!$C$2:$C$53,0))</f>
        <v>3</v>
      </c>
    </row>
    <row r="467" spans="1:15" x14ac:dyDescent="0.15">
      <c r="A467" s="31">
        <v>1387</v>
      </c>
      <c r="B467" s="31" t="s">
        <v>446</v>
      </c>
      <c r="C467" s="31">
        <v>1384</v>
      </c>
      <c r="D467" s="15">
        <f>INDEX(卡牌图鉴!$S$2:$S$53,MATCH(monster!C467,卡牌图鉴!$C$2:$C$53,0))</f>
        <v>4</v>
      </c>
      <c r="E467" s="31">
        <v>3</v>
      </c>
      <c r="F467" s="15">
        <f>INT(INDEX(卡牌图鉴!$AB$2:$AB$53,MATCH(monster!C467,卡牌图鉴!$C$2:$C$57,0)) * INDEX(数值规划表!$B$61:$B$71,monster!E467+1) * 血量调整)</f>
        <v>327</v>
      </c>
      <c r="G467" s="15">
        <f>ROUND(INDEX(卡牌图鉴!$AB$2:$AB$53,MATCH(monster!C467,卡牌图鉴!$C$2:$C$57,0)) * INDEX(数值规划表!$D$61:$D$71,monster!E467+1)*血量调整,2)</f>
        <v>9.83</v>
      </c>
      <c r="H467" s="15">
        <f>ROUND(INDEX(卡牌图鉴!$AA$2:$AA$53,MATCH(monster!C467,卡牌图鉴!$C$2:$C$53,0)) * INDEX(数值规划表!$C$61:$C$71,monster!E467+1),2)</f>
        <v>54.65</v>
      </c>
      <c r="I467" s="15">
        <f>ROUND(INDEX(卡牌图鉴!$AA$2:$AA$53,MATCH(monster!C467,卡牌图鉴!$C$2:$C$53,0)) * INDEX(数值规划表!$E$61:$E$71,monster!E467+1),2)</f>
        <v>1.64</v>
      </c>
      <c r="J467" s="15">
        <f>INDEX(卡牌图鉴!$J$2:$J$53,MATCH(monster!C467,卡牌图鉴!$C$2:$C$53,0))</f>
        <v>5</v>
      </c>
      <c r="K467" s="15">
        <f>INDEX(卡牌图鉴!$S$2:$S$53,MATCH(monster!C467,卡牌图鉴!$C$2:$C$53,0))</f>
        <v>4</v>
      </c>
      <c r="L467" s="15">
        <f>INDEX(卡牌图鉴!$H$2:$H$53,MATCH(monster!C467,卡牌图鉴!$C$2:$C$53,0))</f>
        <v>1.4</v>
      </c>
      <c r="M467" s="15">
        <f>INDEX(卡牌图鉴!$L$2:$L$53,MATCH(monster!C467,卡牌图鉴!$C$2:$C$53,0))</f>
        <v>3</v>
      </c>
      <c r="N467" s="15">
        <f>INDEX(卡牌图鉴!$AD$2:$AD$53,MATCH(monster!C467,卡牌图鉴!$C$2:$C$53,0))</f>
        <v>8</v>
      </c>
      <c r="O467" s="78">
        <f>INDEX(卡牌图鉴!$K$2:$K$53,MATCH(monster!C467,卡牌图鉴!$C$2:$C$53,0))</f>
        <v>3</v>
      </c>
    </row>
    <row r="468" spans="1:15" x14ac:dyDescent="0.15">
      <c r="A468" s="31">
        <v>1388</v>
      </c>
      <c r="B468" s="31" t="s">
        <v>447</v>
      </c>
      <c r="C468" s="31">
        <v>1384</v>
      </c>
      <c r="D468" s="15">
        <f>INDEX(卡牌图鉴!$S$2:$S$53,MATCH(monster!C468,卡牌图鉴!$C$2:$C$53,0))</f>
        <v>4</v>
      </c>
      <c r="E468" s="31">
        <v>4</v>
      </c>
      <c r="F468" s="15">
        <f>INT(INDEX(卡牌图鉴!$AB$2:$AB$53,MATCH(monster!C468,卡牌图鉴!$C$2:$C$57,0)) * INDEX(数值规划表!$B$61:$B$71,monster!E468+1) * 血量调整)</f>
        <v>366</v>
      </c>
      <c r="G468" s="15">
        <f>ROUND(INDEX(卡牌图鉴!$AB$2:$AB$53,MATCH(monster!C468,卡牌图鉴!$C$2:$C$57,0)) * INDEX(数值规划表!$D$61:$D$71,monster!E468+1)*血量调整,2)</f>
        <v>11.01</v>
      </c>
      <c r="H468" s="15">
        <f>ROUND(INDEX(卡牌图鉴!$AA$2:$AA$53,MATCH(monster!C468,卡牌图鉴!$C$2:$C$53,0)) * INDEX(数值规划表!$C$61:$C$71,monster!E468+1),2)</f>
        <v>61.21</v>
      </c>
      <c r="I468" s="15">
        <f>ROUND(INDEX(卡牌图鉴!$AA$2:$AA$53,MATCH(monster!C468,卡牌图鉴!$C$2:$C$53,0)) * INDEX(数值规划表!$E$61:$E$71,monster!E468+1),2)</f>
        <v>1.84</v>
      </c>
      <c r="J468" s="15">
        <f>INDEX(卡牌图鉴!$J$2:$J$53,MATCH(monster!C468,卡牌图鉴!$C$2:$C$53,0))</f>
        <v>5</v>
      </c>
      <c r="K468" s="15">
        <f>INDEX(卡牌图鉴!$S$2:$S$53,MATCH(monster!C468,卡牌图鉴!$C$2:$C$53,0))</f>
        <v>4</v>
      </c>
      <c r="L468" s="15">
        <f>INDEX(卡牌图鉴!$H$2:$H$53,MATCH(monster!C468,卡牌图鉴!$C$2:$C$53,0))</f>
        <v>1.4</v>
      </c>
      <c r="M468" s="15">
        <f>INDEX(卡牌图鉴!$L$2:$L$53,MATCH(monster!C468,卡牌图鉴!$C$2:$C$53,0))</f>
        <v>3</v>
      </c>
      <c r="N468" s="15">
        <f>INDEX(卡牌图鉴!$AD$2:$AD$53,MATCH(monster!C468,卡牌图鉴!$C$2:$C$53,0))</f>
        <v>8</v>
      </c>
      <c r="O468" s="78">
        <f>INDEX(卡牌图鉴!$K$2:$K$53,MATCH(monster!C468,卡牌图鉴!$C$2:$C$53,0))</f>
        <v>3</v>
      </c>
    </row>
    <row r="469" spans="1:15" x14ac:dyDescent="0.15">
      <c r="A469" s="31">
        <v>1389</v>
      </c>
      <c r="B469" s="31" t="s">
        <v>448</v>
      </c>
      <c r="C469" s="31">
        <v>1384</v>
      </c>
      <c r="D469" s="15">
        <f>INDEX(卡牌图鉴!$S$2:$S$53,MATCH(monster!C469,卡牌图鉴!$C$2:$C$53,0))</f>
        <v>4</v>
      </c>
      <c r="E469" s="31">
        <v>5</v>
      </c>
      <c r="F469" s="15">
        <f>INT(INDEX(卡牌图鉴!$AB$2:$AB$53,MATCH(monster!C469,卡牌图鉴!$C$2:$C$57,0)) * INDEX(数值规划表!$B$61:$B$71,monster!E469+1) * 血量调整)</f>
        <v>410</v>
      </c>
      <c r="G469" s="15">
        <f>ROUND(INDEX(卡牌图鉴!$AB$2:$AB$53,MATCH(monster!C469,卡牌图鉴!$C$2:$C$57,0)) * INDEX(数值规划表!$D$61:$D$71,monster!E469+1)*血量调整,2)</f>
        <v>12.33</v>
      </c>
      <c r="H469" s="15">
        <f>ROUND(INDEX(卡牌图鉴!$AA$2:$AA$53,MATCH(monster!C469,卡牌图鉴!$C$2:$C$53,0)) * INDEX(数值规划表!$C$61:$C$71,monster!E469+1),2)</f>
        <v>68.56</v>
      </c>
      <c r="I469" s="15">
        <f>ROUND(INDEX(卡牌图鉴!$AA$2:$AA$53,MATCH(monster!C469,卡牌图鉴!$C$2:$C$53,0)) * INDEX(数值规划表!$E$61:$E$71,monster!E469+1),2)</f>
        <v>2.06</v>
      </c>
      <c r="J469" s="15">
        <f>INDEX(卡牌图鉴!$J$2:$J$53,MATCH(monster!C469,卡牌图鉴!$C$2:$C$53,0))</f>
        <v>5</v>
      </c>
      <c r="K469" s="15">
        <f>INDEX(卡牌图鉴!$S$2:$S$53,MATCH(monster!C469,卡牌图鉴!$C$2:$C$53,0))</f>
        <v>4</v>
      </c>
      <c r="L469" s="15">
        <f>INDEX(卡牌图鉴!$H$2:$H$53,MATCH(monster!C469,卡牌图鉴!$C$2:$C$53,0))</f>
        <v>1.4</v>
      </c>
      <c r="M469" s="15">
        <f>INDEX(卡牌图鉴!$L$2:$L$53,MATCH(monster!C469,卡牌图鉴!$C$2:$C$53,0))</f>
        <v>3</v>
      </c>
      <c r="N469" s="15">
        <f>INDEX(卡牌图鉴!$AD$2:$AD$53,MATCH(monster!C469,卡牌图鉴!$C$2:$C$53,0))</f>
        <v>8</v>
      </c>
      <c r="O469" s="78">
        <f>INDEX(卡牌图鉴!$K$2:$K$53,MATCH(monster!C469,卡牌图鉴!$C$2:$C$53,0))</f>
        <v>3</v>
      </c>
    </row>
    <row r="470" spans="1:15" x14ac:dyDescent="0.15">
      <c r="A470" s="31">
        <v>1390</v>
      </c>
      <c r="B470" s="31" t="s">
        <v>449</v>
      </c>
      <c r="C470" s="31">
        <v>1384</v>
      </c>
      <c r="D470" s="15">
        <f>INDEX(卡牌图鉴!$S$2:$S$53,MATCH(monster!C470,卡牌图鉴!$C$2:$C$53,0))</f>
        <v>4</v>
      </c>
      <c r="E470" s="31">
        <v>6</v>
      </c>
      <c r="F470" s="15">
        <f>INT(INDEX(卡牌图鉴!$AB$2:$AB$53,MATCH(monster!C470,卡牌图鉴!$C$2:$C$57,0)) * INDEX(数值规划表!$B$61:$B$71,monster!E470+1) * 血量调整)</f>
        <v>460</v>
      </c>
      <c r="G470" s="15">
        <f>ROUND(INDEX(卡牌图鉴!$AB$2:$AB$53,MATCH(monster!C470,卡牌图鉴!$C$2:$C$57,0)) * INDEX(数值规划表!$D$61:$D$71,monster!E470+1)*血量调整,2)</f>
        <v>13.81</v>
      </c>
      <c r="H470" s="15">
        <f>ROUND(INDEX(卡牌图鉴!$AA$2:$AA$53,MATCH(monster!C470,卡牌图鉴!$C$2:$C$53,0)) * INDEX(数值规划表!$C$61:$C$71,monster!E470+1),2)</f>
        <v>76.78</v>
      </c>
      <c r="I470" s="15">
        <f>ROUND(INDEX(卡牌图鉴!$AA$2:$AA$53,MATCH(monster!C470,卡牌图鉴!$C$2:$C$53,0)) * INDEX(数值规划表!$E$61:$E$71,monster!E470+1),2)</f>
        <v>2.2999999999999998</v>
      </c>
      <c r="J470" s="15">
        <f>INDEX(卡牌图鉴!$J$2:$J$53,MATCH(monster!C470,卡牌图鉴!$C$2:$C$53,0))</f>
        <v>5</v>
      </c>
      <c r="K470" s="15">
        <f>INDEX(卡牌图鉴!$S$2:$S$53,MATCH(monster!C470,卡牌图鉴!$C$2:$C$53,0))</f>
        <v>4</v>
      </c>
      <c r="L470" s="15">
        <f>INDEX(卡牌图鉴!$H$2:$H$53,MATCH(monster!C470,卡牌图鉴!$C$2:$C$53,0))</f>
        <v>1.4</v>
      </c>
      <c r="M470" s="15">
        <f>INDEX(卡牌图鉴!$L$2:$L$53,MATCH(monster!C470,卡牌图鉴!$C$2:$C$53,0))</f>
        <v>3</v>
      </c>
      <c r="N470" s="15">
        <f>INDEX(卡牌图鉴!$AD$2:$AD$53,MATCH(monster!C470,卡牌图鉴!$C$2:$C$53,0))</f>
        <v>8</v>
      </c>
      <c r="O470" s="78">
        <f>INDEX(卡牌图鉴!$K$2:$K$53,MATCH(monster!C470,卡牌图鉴!$C$2:$C$53,0))</f>
        <v>3</v>
      </c>
    </row>
    <row r="471" spans="1:15" x14ac:dyDescent="0.15">
      <c r="A471" s="31">
        <v>1391</v>
      </c>
      <c r="B471" s="31" t="s">
        <v>450</v>
      </c>
      <c r="C471" s="31">
        <v>1384</v>
      </c>
      <c r="D471" s="15">
        <f>INDEX(卡牌图鉴!$S$2:$S$53,MATCH(monster!C471,卡牌图鉴!$C$2:$C$53,0))</f>
        <v>4</v>
      </c>
      <c r="E471" s="31">
        <v>7</v>
      </c>
      <c r="F471" s="15">
        <f>INT(INDEX(卡牌图鉴!$AB$2:$AB$53,MATCH(monster!C471,卡牌图鉴!$C$2:$C$57,0)) * INDEX(数值规划表!$B$61:$B$71,monster!E471+1) * 血量调整)</f>
        <v>515</v>
      </c>
      <c r="G471" s="15">
        <f>ROUND(INDEX(卡牌图鉴!$AB$2:$AB$53,MATCH(monster!C471,卡牌图鉴!$C$2:$C$57,0)) * INDEX(数值规划表!$D$61:$D$71,monster!E471+1)*血量调整,2)</f>
        <v>15.46</v>
      </c>
      <c r="H471" s="15">
        <f>ROUND(INDEX(卡牌图鉴!$AA$2:$AA$53,MATCH(monster!C471,卡牌图鉴!$C$2:$C$53,0)) * INDEX(数值规划表!$C$61:$C$71,monster!E471+1),2)</f>
        <v>86</v>
      </c>
      <c r="I471" s="15">
        <f>ROUND(INDEX(卡牌图鉴!$AA$2:$AA$53,MATCH(monster!C471,卡牌图鉴!$C$2:$C$53,0)) * INDEX(数值规划表!$E$61:$E$71,monster!E471+1),2)</f>
        <v>2.58</v>
      </c>
      <c r="J471" s="15">
        <f>INDEX(卡牌图鉴!$J$2:$J$53,MATCH(monster!C471,卡牌图鉴!$C$2:$C$53,0))</f>
        <v>5</v>
      </c>
      <c r="K471" s="15">
        <f>INDEX(卡牌图鉴!$S$2:$S$53,MATCH(monster!C471,卡牌图鉴!$C$2:$C$53,0))</f>
        <v>4</v>
      </c>
      <c r="L471" s="15">
        <f>INDEX(卡牌图鉴!$H$2:$H$53,MATCH(monster!C471,卡牌图鉴!$C$2:$C$53,0))</f>
        <v>1.4</v>
      </c>
      <c r="M471" s="15">
        <f>INDEX(卡牌图鉴!$L$2:$L$53,MATCH(monster!C471,卡牌图鉴!$C$2:$C$53,0))</f>
        <v>3</v>
      </c>
      <c r="N471" s="15">
        <f>INDEX(卡牌图鉴!$AD$2:$AD$53,MATCH(monster!C471,卡牌图鉴!$C$2:$C$53,0))</f>
        <v>8</v>
      </c>
      <c r="O471" s="78">
        <f>INDEX(卡牌图鉴!$K$2:$K$53,MATCH(monster!C471,卡牌图鉴!$C$2:$C$53,0))</f>
        <v>3</v>
      </c>
    </row>
    <row r="472" spans="1:15" x14ac:dyDescent="0.15">
      <c r="A472" s="31">
        <v>1392</v>
      </c>
      <c r="B472" s="31" t="s">
        <v>451</v>
      </c>
      <c r="C472" s="31">
        <v>1384</v>
      </c>
      <c r="D472" s="15">
        <f>INDEX(卡牌图鉴!$S$2:$S$53,MATCH(monster!C472,卡牌图鉴!$C$2:$C$53,0))</f>
        <v>4</v>
      </c>
      <c r="E472" s="31">
        <v>8</v>
      </c>
      <c r="F472" s="15">
        <f>INT(INDEX(卡牌图鉴!$AB$2:$AB$53,MATCH(monster!C472,卡牌图鉴!$C$2:$C$57,0)) * INDEX(数值规划表!$B$61:$B$71,monster!E472+1) * 血量调整)</f>
        <v>577</v>
      </c>
      <c r="G472" s="15">
        <f>ROUND(INDEX(卡牌图鉴!$AB$2:$AB$53,MATCH(monster!C472,卡牌图鉴!$C$2:$C$57,0)) * INDEX(数值规划表!$D$61:$D$71,monster!E472+1)*血量调整,2)</f>
        <v>17.32</v>
      </c>
      <c r="H472" s="15">
        <f>ROUND(INDEX(卡牌图鉴!$AA$2:$AA$53,MATCH(monster!C472,卡牌图鉴!$C$2:$C$53,0)) * INDEX(数值规划表!$C$61:$C$71,monster!E472+1),2)</f>
        <v>96.31</v>
      </c>
      <c r="I472" s="15">
        <f>ROUND(INDEX(卡牌图鉴!$AA$2:$AA$53,MATCH(monster!C472,卡牌图鉴!$C$2:$C$53,0)) * INDEX(数值规划表!$E$61:$E$71,monster!E472+1),2)</f>
        <v>2.89</v>
      </c>
      <c r="J472" s="15">
        <f>INDEX(卡牌图鉴!$J$2:$J$53,MATCH(monster!C472,卡牌图鉴!$C$2:$C$53,0))</f>
        <v>5</v>
      </c>
      <c r="K472" s="15">
        <f>INDEX(卡牌图鉴!$S$2:$S$53,MATCH(monster!C472,卡牌图鉴!$C$2:$C$53,0))</f>
        <v>4</v>
      </c>
      <c r="L472" s="15">
        <f>INDEX(卡牌图鉴!$H$2:$H$53,MATCH(monster!C472,卡牌图鉴!$C$2:$C$53,0))</f>
        <v>1.4</v>
      </c>
      <c r="M472" s="15">
        <f>INDEX(卡牌图鉴!$L$2:$L$53,MATCH(monster!C472,卡牌图鉴!$C$2:$C$53,0))</f>
        <v>3</v>
      </c>
      <c r="N472" s="15">
        <f>INDEX(卡牌图鉴!$AD$2:$AD$53,MATCH(monster!C472,卡牌图鉴!$C$2:$C$53,0))</f>
        <v>8</v>
      </c>
      <c r="O472" s="78">
        <f>INDEX(卡牌图鉴!$K$2:$K$53,MATCH(monster!C472,卡牌图鉴!$C$2:$C$53,0))</f>
        <v>3</v>
      </c>
    </row>
    <row r="473" spans="1:15" x14ac:dyDescent="0.15">
      <c r="A473" s="31">
        <v>1393</v>
      </c>
      <c r="B473" s="31" t="s">
        <v>452</v>
      </c>
      <c r="C473" s="31">
        <v>1384</v>
      </c>
      <c r="D473" s="15">
        <f>INDEX(卡牌图鉴!$S$2:$S$53,MATCH(monster!C473,卡牌图鉴!$C$2:$C$53,0))</f>
        <v>4</v>
      </c>
      <c r="E473" s="31">
        <v>9</v>
      </c>
      <c r="F473" s="15">
        <f>INT(INDEX(卡牌图鉴!$AB$2:$AB$53,MATCH(monster!C473,卡牌图鉴!$C$2:$C$57,0)) * INDEX(数值规划表!$B$61:$B$71,monster!E473+1) * 血量调整)</f>
        <v>646</v>
      </c>
      <c r="G473" s="15">
        <f>ROUND(INDEX(卡牌图鉴!$AB$2:$AB$53,MATCH(monster!C473,卡牌图鉴!$C$2:$C$57,0)) * INDEX(数值规划表!$D$61:$D$71,monster!E473+1)*血量调整,2)</f>
        <v>19.399999999999999</v>
      </c>
      <c r="H473" s="15">
        <f>ROUND(INDEX(卡牌图鉴!$AA$2:$AA$53,MATCH(monster!C473,卡牌图鉴!$C$2:$C$53,0)) * INDEX(数值规划表!$C$61:$C$71,monster!E473+1),2)</f>
        <v>107.87</v>
      </c>
      <c r="I473" s="15">
        <f>ROUND(INDEX(卡牌图鉴!$AA$2:$AA$53,MATCH(monster!C473,卡牌图鉴!$C$2:$C$53,0)) * INDEX(数值规划表!$E$61:$E$71,monster!E473+1),2)</f>
        <v>3.24</v>
      </c>
      <c r="J473" s="15">
        <f>INDEX(卡牌图鉴!$J$2:$J$53,MATCH(monster!C473,卡牌图鉴!$C$2:$C$53,0))</f>
        <v>5</v>
      </c>
      <c r="K473" s="15">
        <f>INDEX(卡牌图鉴!$S$2:$S$53,MATCH(monster!C473,卡牌图鉴!$C$2:$C$53,0))</f>
        <v>4</v>
      </c>
      <c r="L473" s="15">
        <f>INDEX(卡牌图鉴!$H$2:$H$53,MATCH(monster!C473,卡牌图鉴!$C$2:$C$53,0))</f>
        <v>1.4</v>
      </c>
      <c r="M473" s="15">
        <f>INDEX(卡牌图鉴!$L$2:$L$53,MATCH(monster!C473,卡牌图鉴!$C$2:$C$53,0))</f>
        <v>3</v>
      </c>
      <c r="N473" s="15">
        <f>INDEX(卡牌图鉴!$AD$2:$AD$53,MATCH(monster!C473,卡牌图鉴!$C$2:$C$53,0))</f>
        <v>8</v>
      </c>
      <c r="O473" s="78">
        <f>INDEX(卡牌图鉴!$K$2:$K$53,MATCH(monster!C473,卡牌图鉴!$C$2:$C$53,0))</f>
        <v>3</v>
      </c>
    </row>
    <row r="474" spans="1:15" x14ac:dyDescent="0.15">
      <c r="A474" s="31">
        <v>1394</v>
      </c>
      <c r="B474" s="31" t="s">
        <v>453</v>
      </c>
      <c r="C474" s="31">
        <v>1384</v>
      </c>
      <c r="D474" s="15">
        <f>INDEX(卡牌图鉴!$S$2:$S$53,MATCH(monster!C474,卡牌图鉴!$C$2:$C$53,0))</f>
        <v>4</v>
      </c>
      <c r="E474" s="31">
        <v>10</v>
      </c>
      <c r="F474" s="15">
        <f>INT(INDEX(卡牌图鉴!$AB$2:$AB$53,MATCH(monster!C474,卡牌图鉴!$C$2:$C$57,0)) * INDEX(数值规划表!$B$61:$B$71,monster!E474+1) * 血量调整)</f>
        <v>724</v>
      </c>
      <c r="G474" s="15">
        <f>ROUND(INDEX(卡牌图鉴!$AB$2:$AB$53,MATCH(monster!C474,卡牌图鉴!$C$2:$C$57,0)) * INDEX(数值规划表!$D$61:$D$71,monster!E474+1)*血量调整,2)</f>
        <v>21.72</v>
      </c>
      <c r="H474" s="15">
        <f>ROUND(INDEX(卡牌图鉴!$AA$2:$AA$53,MATCH(monster!C474,卡牌图鉴!$C$2:$C$53,0)) * INDEX(数值规划表!$C$61:$C$71,monster!E474+1),2)</f>
        <v>120.82</v>
      </c>
      <c r="I474" s="15">
        <f>ROUND(INDEX(卡牌图鉴!$AA$2:$AA$53,MATCH(monster!C474,卡牌图鉴!$C$2:$C$53,0)) * INDEX(数值规划表!$E$61:$E$71,monster!E474+1),2)</f>
        <v>3.62</v>
      </c>
      <c r="J474" s="15">
        <f>INDEX(卡牌图鉴!$J$2:$J$53,MATCH(monster!C474,卡牌图鉴!$C$2:$C$53,0))</f>
        <v>5</v>
      </c>
      <c r="K474" s="15">
        <f>INDEX(卡牌图鉴!$S$2:$S$53,MATCH(monster!C474,卡牌图鉴!$C$2:$C$53,0))</f>
        <v>4</v>
      </c>
      <c r="L474" s="15">
        <f>INDEX(卡牌图鉴!$H$2:$H$53,MATCH(monster!C474,卡牌图鉴!$C$2:$C$53,0))</f>
        <v>1.4</v>
      </c>
      <c r="M474" s="15">
        <f>INDEX(卡牌图鉴!$L$2:$L$53,MATCH(monster!C474,卡牌图鉴!$C$2:$C$53,0))</f>
        <v>3</v>
      </c>
      <c r="N474" s="15">
        <f>INDEX(卡牌图鉴!$AD$2:$AD$53,MATCH(monster!C474,卡牌图鉴!$C$2:$C$53,0))</f>
        <v>8</v>
      </c>
      <c r="O474" s="78">
        <f>INDEX(卡牌图鉴!$K$2:$K$53,MATCH(monster!C474,卡牌图鉴!$C$2:$C$53,0))</f>
        <v>3</v>
      </c>
    </row>
    <row r="475" spans="1:15" x14ac:dyDescent="0.15">
      <c r="A475" s="31">
        <v>1206</v>
      </c>
      <c r="B475" s="31" t="s">
        <v>1475</v>
      </c>
      <c r="C475" s="31">
        <v>1206</v>
      </c>
      <c r="D475" s="15">
        <f>INDEX(卡牌图鉴!$S$2:$S$53,MATCH(monster!C475,卡牌图鉴!$C$2:$C$53,0))</f>
        <v>4</v>
      </c>
      <c r="E475" s="31">
        <v>0</v>
      </c>
      <c r="F475" s="15">
        <f>INT(INDEX(卡牌图鉴!$AB$2:$AB$53,MATCH(monster!C475,卡牌图鉴!$C$2:$C$57,0)) * INDEX(数值规划表!$B$61:$B$71,monster!E475+1) * 血量调整)</f>
        <v>832</v>
      </c>
      <c r="G475" s="15">
        <f>ROUND(INDEX(卡牌图鉴!$AB$2:$AB$53,MATCH(monster!C475,卡牌图鉴!$C$2:$C$57,0)) * INDEX(数值规划表!$D$61:$D$71,monster!E475+1)*血量调整,2)</f>
        <v>24.98</v>
      </c>
      <c r="H475" s="15">
        <f>ROUND(INDEX(卡牌图鉴!$AA$2:$AA$53,MATCH(monster!C475,卡牌图鉴!$C$2:$C$53,0)) * INDEX(数值规划表!$C$61:$C$71,monster!E475+1),2)</f>
        <v>41.25</v>
      </c>
      <c r="I475" s="15">
        <f>ROUND(INDEX(卡牌图鉴!$AA$2:$AA$53,MATCH(monster!C475,卡牌图鉴!$C$2:$C$53,0)) * INDEX(数值规划表!$E$61:$E$71,monster!E475+1),2)</f>
        <v>1.24</v>
      </c>
      <c r="J475" s="15">
        <f>INDEX(卡牌图鉴!$J$2:$J$53,MATCH(monster!C475,卡牌图鉴!$C$2:$C$53,0))</f>
        <v>1.2</v>
      </c>
      <c r="K475" s="15">
        <f>INDEX(卡牌图鉴!$S$2:$S$53,MATCH(monster!C475,卡牌图鉴!$C$2:$C$53,0))</f>
        <v>4</v>
      </c>
      <c r="L475" s="15">
        <f>INDEX(卡牌图鉴!$H$2:$H$53,MATCH(monster!C475,卡牌图鉴!$C$2:$C$53,0))</f>
        <v>1.4</v>
      </c>
      <c r="M475" s="15">
        <f>INDEX(卡牌图鉴!$L$2:$L$53,MATCH(monster!C475,卡牌图鉴!$C$2:$C$53,0))</f>
        <v>5</v>
      </c>
      <c r="N475" s="15">
        <f>INDEX(卡牌图鉴!$AD$2:$AD$53,MATCH(monster!C475,卡牌图鉴!$C$2:$C$53,0))</f>
        <v>8</v>
      </c>
      <c r="O475" s="78">
        <f>INDEX(卡牌图鉴!$K$2:$K$53,MATCH(monster!C475,卡牌图鉴!$C$2:$C$53,0))</f>
        <v>5</v>
      </c>
    </row>
    <row r="476" spans="1:15" x14ac:dyDescent="0.15">
      <c r="A476" s="31">
        <v>1207</v>
      </c>
      <c r="B476" s="31" t="s">
        <v>1476</v>
      </c>
      <c r="C476" s="31">
        <v>1206</v>
      </c>
      <c r="D476" s="15">
        <f>INDEX(卡牌图鉴!$S$2:$S$53,MATCH(monster!C476,卡牌图鉴!$C$2:$C$53,0))</f>
        <v>4</v>
      </c>
      <c r="E476" s="31">
        <v>1</v>
      </c>
      <c r="F476" s="15">
        <f>INT(INDEX(卡牌图鉴!$AB$2:$AB$53,MATCH(monster!C476,卡牌图鉴!$C$2:$C$57,0)) * INDEX(数值规划表!$B$61:$B$71,monster!E476+1) * 血量调整)</f>
        <v>932</v>
      </c>
      <c r="G476" s="15">
        <f>ROUND(INDEX(卡牌图鉴!$AB$2:$AB$53,MATCH(monster!C476,卡牌图鉴!$C$2:$C$57,0)) * INDEX(数值规划表!$D$61:$D$71,monster!E476+1)*血量调整,2)</f>
        <v>27.98</v>
      </c>
      <c r="H476" s="15">
        <f>ROUND(INDEX(卡牌图鉴!$AA$2:$AA$53,MATCH(monster!C476,卡牌图鉴!$C$2:$C$53,0)) * INDEX(数值规划表!$C$61:$C$71,monster!E476+1),2)</f>
        <v>46.2</v>
      </c>
      <c r="I476" s="15">
        <f>ROUND(INDEX(卡牌图鉴!$AA$2:$AA$53,MATCH(monster!C476,卡牌图鉴!$C$2:$C$53,0)) * INDEX(数值规划表!$E$61:$E$71,monster!E476+1),2)</f>
        <v>1.39</v>
      </c>
      <c r="J476" s="15">
        <f>INDEX(卡牌图鉴!$J$2:$J$53,MATCH(monster!C476,卡牌图鉴!$C$2:$C$53,0))</f>
        <v>1.2</v>
      </c>
      <c r="K476" s="15">
        <f>INDEX(卡牌图鉴!$S$2:$S$53,MATCH(monster!C476,卡牌图鉴!$C$2:$C$53,0))</f>
        <v>4</v>
      </c>
      <c r="L476" s="15">
        <f>INDEX(卡牌图鉴!$H$2:$H$53,MATCH(monster!C476,卡牌图鉴!$C$2:$C$53,0))</f>
        <v>1.4</v>
      </c>
      <c r="M476" s="15">
        <f>INDEX(卡牌图鉴!$L$2:$L$53,MATCH(monster!C476,卡牌图鉴!$C$2:$C$53,0))</f>
        <v>5</v>
      </c>
      <c r="N476" s="15">
        <f>INDEX(卡牌图鉴!$AD$2:$AD$53,MATCH(monster!C476,卡牌图鉴!$C$2:$C$53,0))</f>
        <v>8</v>
      </c>
      <c r="O476" s="78">
        <f>INDEX(卡牌图鉴!$K$2:$K$53,MATCH(monster!C476,卡牌图鉴!$C$2:$C$53,0))</f>
        <v>5</v>
      </c>
    </row>
    <row r="477" spans="1:15" x14ac:dyDescent="0.15">
      <c r="A477" s="31">
        <v>1208</v>
      </c>
      <c r="B477" s="31" t="s">
        <v>305</v>
      </c>
      <c r="C477" s="31">
        <v>1206</v>
      </c>
      <c r="D477" s="15">
        <f>INDEX(卡牌图鉴!$S$2:$S$53,MATCH(monster!C477,卡牌图鉴!$C$2:$C$53,0))</f>
        <v>4</v>
      </c>
      <c r="E477" s="31">
        <v>2</v>
      </c>
      <c r="F477" s="15">
        <f>INT(INDEX(卡牌图鉴!$AB$2:$AB$53,MATCH(monster!C477,卡牌图鉴!$C$2:$C$57,0)) * INDEX(数值规划表!$B$61:$B$71,monster!E477+1) * 血量调整)</f>
        <v>1044</v>
      </c>
      <c r="G477" s="15">
        <f>ROUND(INDEX(卡牌图鉴!$AB$2:$AB$53,MATCH(monster!C477,卡牌图鉴!$C$2:$C$57,0)) * INDEX(数值规划表!$D$61:$D$71,monster!E477+1)*血量调整,2)</f>
        <v>31.33</v>
      </c>
      <c r="H477" s="15">
        <f>ROUND(INDEX(卡牌图鉴!$AA$2:$AA$53,MATCH(monster!C477,卡牌图鉴!$C$2:$C$53,0)) * INDEX(数值规划表!$C$61:$C$71,monster!E477+1),2)</f>
        <v>51.74</v>
      </c>
      <c r="I477" s="15">
        <f>ROUND(INDEX(卡牌图鉴!$AA$2:$AA$53,MATCH(monster!C477,卡牌图鉴!$C$2:$C$53,0)) * INDEX(数值规划表!$E$61:$E$71,monster!E477+1),2)</f>
        <v>1.55</v>
      </c>
      <c r="J477" s="15">
        <f>INDEX(卡牌图鉴!$J$2:$J$53,MATCH(monster!C477,卡牌图鉴!$C$2:$C$53,0))</f>
        <v>1.2</v>
      </c>
      <c r="K477" s="15">
        <f>INDEX(卡牌图鉴!$S$2:$S$53,MATCH(monster!C477,卡牌图鉴!$C$2:$C$53,0))</f>
        <v>4</v>
      </c>
      <c r="L477" s="15">
        <f>INDEX(卡牌图鉴!$H$2:$H$53,MATCH(monster!C477,卡牌图鉴!$C$2:$C$53,0))</f>
        <v>1.4</v>
      </c>
      <c r="M477" s="15">
        <f>INDEX(卡牌图鉴!$L$2:$L$53,MATCH(monster!C477,卡牌图鉴!$C$2:$C$53,0))</f>
        <v>5</v>
      </c>
      <c r="N477" s="15">
        <f>INDEX(卡牌图鉴!$AD$2:$AD$53,MATCH(monster!C477,卡牌图鉴!$C$2:$C$53,0))</f>
        <v>8</v>
      </c>
      <c r="O477" s="78">
        <f>INDEX(卡牌图鉴!$K$2:$K$53,MATCH(monster!C477,卡牌图鉴!$C$2:$C$53,0))</f>
        <v>5</v>
      </c>
    </row>
    <row r="478" spans="1:15" x14ac:dyDescent="0.15">
      <c r="A478" s="31">
        <v>1209</v>
      </c>
      <c r="B478" s="31" t="s">
        <v>306</v>
      </c>
      <c r="C478" s="31">
        <v>1206</v>
      </c>
      <c r="D478" s="15">
        <f>INDEX(卡牌图鉴!$S$2:$S$53,MATCH(monster!C478,卡牌图鉴!$C$2:$C$53,0))</f>
        <v>4</v>
      </c>
      <c r="E478" s="31">
        <v>3</v>
      </c>
      <c r="F478" s="15">
        <f>INT(INDEX(卡牌图鉴!$AB$2:$AB$53,MATCH(monster!C478,卡牌图鉴!$C$2:$C$57,0)) * INDEX(数值规划表!$B$61:$B$71,monster!E478+1) * 血量调整)</f>
        <v>1169</v>
      </c>
      <c r="G478" s="15">
        <f>ROUND(INDEX(卡牌图鉴!$AB$2:$AB$53,MATCH(monster!C478,卡牌图鉴!$C$2:$C$57,0)) * INDEX(数值规划表!$D$61:$D$71,monster!E478+1)*血量调整,2)</f>
        <v>35.090000000000003</v>
      </c>
      <c r="H478" s="15">
        <f>ROUND(INDEX(卡牌图鉴!$AA$2:$AA$53,MATCH(monster!C478,卡牌图鉴!$C$2:$C$53,0)) * INDEX(数值规划表!$C$61:$C$71,monster!E478+1),2)</f>
        <v>57.95</v>
      </c>
      <c r="I478" s="15">
        <f>ROUND(INDEX(卡牌图鉴!$AA$2:$AA$53,MATCH(monster!C478,卡牌图鉴!$C$2:$C$53,0)) * INDEX(数值规划表!$E$61:$E$71,monster!E478+1),2)</f>
        <v>1.74</v>
      </c>
      <c r="J478" s="15">
        <f>INDEX(卡牌图鉴!$J$2:$J$53,MATCH(monster!C478,卡牌图鉴!$C$2:$C$53,0))</f>
        <v>1.2</v>
      </c>
      <c r="K478" s="15">
        <f>INDEX(卡牌图鉴!$S$2:$S$53,MATCH(monster!C478,卡牌图鉴!$C$2:$C$53,0))</f>
        <v>4</v>
      </c>
      <c r="L478" s="15">
        <f>INDEX(卡牌图鉴!$H$2:$H$53,MATCH(monster!C478,卡牌图鉴!$C$2:$C$53,0))</f>
        <v>1.4</v>
      </c>
      <c r="M478" s="15">
        <f>INDEX(卡牌图鉴!$L$2:$L$53,MATCH(monster!C478,卡牌图鉴!$C$2:$C$53,0))</f>
        <v>5</v>
      </c>
      <c r="N478" s="15">
        <f>INDEX(卡牌图鉴!$AD$2:$AD$53,MATCH(monster!C478,卡牌图鉴!$C$2:$C$53,0))</f>
        <v>8</v>
      </c>
      <c r="O478" s="78">
        <f>INDEX(卡牌图鉴!$K$2:$K$53,MATCH(monster!C478,卡牌图鉴!$C$2:$C$53,0))</f>
        <v>5</v>
      </c>
    </row>
    <row r="479" spans="1:15" x14ac:dyDescent="0.15">
      <c r="A479" s="31">
        <v>1210</v>
      </c>
      <c r="B479" s="31" t="s">
        <v>307</v>
      </c>
      <c r="C479" s="31">
        <v>1206</v>
      </c>
      <c r="D479" s="15">
        <f>INDEX(卡牌图鉴!$S$2:$S$53,MATCH(monster!C479,卡牌图鉴!$C$2:$C$53,0))</f>
        <v>4</v>
      </c>
      <c r="E479" s="31">
        <v>4</v>
      </c>
      <c r="F479" s="15">
        <f>INT(INDEX(卡牌图鉴!$AB$2:$AB$53,MATCH(monster!C479,卡牌图鉴!$C$2:$C$57,0)) * INDEX(数值规划表!$B$61:$B$71,monster!E479+1) * 血量调整)</f>
        <v>1310</v>
      </c>
      <c r="G479" s="15">
        <f>ROUND(INDEX(卡牌图鉴!$AB$2:$AB$53,MATCH(monster!C479,卡牌图鉴!$C$2:$C$57,0)) * INDEX(数值规划表!$D$61:$D$71,monster!E479+1)*血量调整,2)</f>
        <v>39.299999999999997</v>
      </c>
      <c r="H479" s="15">
        <f>ROUND(INDEX(卡牌图鉴!$AA$2:$AA$53,MATCH(monster!C479,卡牌图鉴!$C$2:$C$53,0)) * INDEX(数值规划表!$C$61:$C$71,monster!E479+1),2)</f>
        <v>64.91</v>
      </c>
      <c r="I479" s="15">
        <f>ROUND(INDEX(卡牌图鉴!$AA$2:$AA$53,MATCH(monster!C479,卡牌图鉴!$C$2:$C$53,0)) * INDEX(数值规划表!$E$61:$E$71,monster!E479+1),2)</f>
        <v>1.95</v>
      </c>
      <c r="J479" s="15">
        <f>INDEX(卡牌图鉴!$J$2:$J$53,MATCH(monster!C479,卡牌图鉴!$C$2:$C$53,0))</f>
        <v>1.2</v>
      </c>
      <c r="K479" s="15">
        <f>INDEX(卡牌图鉴!$S$2:$S$53,MATCH(monster!C479,卡牌图鉴!$C$2:$C$53,0))</f>
        <v>4</v>
      </c>
      <c r="L479" s="15">
        <f>INDEX(卡牌图鉴!$H$2:$H$53,MATCH(monster!C479,卡牌图鉴!$C$2:$C$53,0))</f>
        <v>1.4</v>
      </c>
      <c r="M479" s="15">
        <f>INDEX(卡牌图鉴!$L$2:$L$53,MATCH(monster!C479,卡牌图鉴!$C$2:$C$53,0))</f>
        <v>5</v>
      </c>
      <c r="N479" s="15">
        <f>INDEX(卡牌图鉴!$AD$2:$AD$53,MATCH(monster!C479,卡牌图鉴!$C$2:$C$53,0))</f>
        <v>8</v>
      </c>
      <c r="O479" s="78">
        <f>INDEX(卡牌图鉴!$K$2:$K$53,MATCH(monster!C479,卡牌图鉴!$C$2:$C$53,0))</f>
        <v>5</v>
      </c>
    </row>
    <row r="480" spans="1:15" x14ac:dyDescent="0.15">
      <c r="A480" s="31">
        <v>1211</v>
      </c>
      <c r="B480" s="31" t="s">
        <v>308</v>
      </c>
      <c r="C480" s="31">
        <v>1206</v>
      </c>
      <c r="D480" s="15">
        <f>INDEX(卡牌图鉴!$S$2:$S$53,MATCH(monster!C480,卡牌图鉴!$C$2:$C$53,0))</f>
        <v>4</v>
      </c>
      <c r="E480" s="31">
        <v>5</v>
      </c>
      <c r="F480" s="15">
        <f>INT(INDEX(卡牌图鉴!$AB$2:$AB$53,MATCH(monster!C480,卡牌图鉴!$C$2:$C$57,0)) * INDEX(数值规划表!$B$61:$B$71,monster!E480+1) * 血量调整)</f>
        <v>1467</v>
      </c>
      <c r="G480" s="15">
        <f>ROUND(INDEX(卡牌图鉴!$AB$2:$AB$53,MATCH(monster!C480,卡牌图鉴!$C$2:$C$57,0)) * INDEX(数值规划表!$D$61:$D$71,monster!E480+1)*血量调整,2)</f>
        <v>44.02</v>
      </c>
      <c r="H480" s="15">
        <f>ROUND(INDEX(卡牌图鉴!$AA$2:$AA$53,MATCH(monster!C480,卡牌图鉴!$C$2:$C$53,0)) * INDEX(数值规划表!$C$61:$C$71,monster!E480+1),2)</f>
        <v>72.7</v>
      </c>
      <c r="I480" s="15">
        <f>ROUND(INDEX(卡牌图鉴!$AA$2:$AA$53,MATCH(monster!C480,卡牌图鉴!$C$2:$C$53,0)) * INDEX(数值规划表!$E$61:$E$71,monster!E480+1),2)</f>
        <v>2.1800000000000002</v>
      </c>
      <c r="J480" s="15">
        <f>INDEX(卡牌图鉴!$J$2:$J$53,MATCH(monster!C480,卡牌图鉴!$C$2:$C$53,0))</f>
        <v>1.2</v>
      </c>
      <c r="K480" s="15">
        <f>INDEX(卡牌图鉴!$S$2:$S$53,MATCH(monster!C480,卡牌图鉴!$C$2:$C$53,0))</f>
        <v>4</v>
      </c>
      <c r="L480" s="15">
        <f>INDEX(卡牌图鉴!$H$2:$H$53,MATCH(monster!C480,卡牌图鉴!$C$2:$C$53,0))</f>
        <v>1.4</v>
      </c>
      <c r="M480" s="15">
        <f>INDEX(卡牌图鉴!$L$2:$L$53,MATCH(monster!C480,卡牌图鉴!$C$2:$C$53,0))</f>
        <v>5</v>
      </c>
      <c r="N480" s="15">
        <f>INDEX(卡牌图鉴!$AD$2:$AD$53,MATCH(monster!C480,卡牌图鉴!$C$2:$C$53,0))</f>
        <v>8</v>
      </c>
      <c r="O480" s="78">
        <f>INDEX(卡牌图鉴!$K$2:$K$53,MATCH(monster!C480,卡牌图鉴!$C$2:$C$53,0))</f>
        <v>5</v>
      </c>
    </row>
    <row r="481" spans="1:15" x14ac:dyDescent="0.15">
      <c r="A481" s="31">
        <v>1212</v>
      </c>
      <c r="B481" s="31" t="s">
        <v>309</v>
      </c>
      <c r="C481" s="31">
        <v>1206</v>
      </c>
      <c r="D481" s="15">
        <f>INDEX(卡牌图鉴!$S$2:$S$53,MATCH(monster!C481,卡牌图鉴!$C$2:$C$53,0))</f>
        <v>4</v>
      </c>
      <c r="E481" s="31">
        <v>6</v>
      </c>
      <c r="F481" s="15">
        <f>INT(INDEX(卡牌图鉴!$AB$2:$AB$53,MATCH(monster!C481,卡牌图鉴!$C$2:$C$57,0)) * INDEX(数值规划表!$B$61:$B$71,monster!E481+1) * 血量调整)</f>
        <v>1643</v>
      </c>
      <c r="G481" s="15">
        <f>ROUND(INDEX(卡牌图鉴!$AB$2:$AB$53,MATCH(monster!C481,卡牌图鉴!$C$2:$C$57,0)) * INDEX(数值规划表!$D$61:$D$71,monster!E481+1)*血量调整,2)</f>
        <v>49.3</v>
      </c>
      <c r="H481" s="15">
        <f>ROUND(INDEX(卡牌图鉴!$AA$2:$AA$53,MATCH(monster!C481,卡牌图鉴!$C$2:$C$53,0)) * INDEX(数值规划表!$C$61:$C$71,monster!E481+1),2)</f>
        <v>81.42</v>
      </c>
      <c r="I481" s="15">
        <f>ROUND(INDEX(卡牌图鉴!$AA$2:$AA$53,MATCH(monster!C481,卡牌图鉴!$C$2:$C$53,0)) * INDEX(数值规划表!$E$61:$E$71,monster!E481+1),2)</f>
        <v>2.44</v>
      </c>
      <c r="J481" s="15">
        <f>INDEX(卡牌图鉴!$J$2:$J$53,MATCH(monster!C481,卡牌图鉴!$C$2:$C$53,0))</f>
        <v>1.2</v>
      </c>
      <c r="K481" s="15">
        <f>INDEX(卡牌图鉴!$S$2:$S$53,MATCH(monster!C481,卡牌图鉴!$C$2:$C$53,0))</f>
        <v>4</v>
      </c>
      <c r="L481" s="15">
        <f>INDEX(卡牌图鉴!$H$2:$H$53,MATCH(monster!C481,卡牌图鉴!$C$2:$C$53,0))</f>
        <v>1.4</v>
      </c>
      <c r="M481" s="15">
        <f>INDEX(卡牌图鉴!$L$2:$L$53,MATCH(monster!C481,卡牌图鉴!$C$2:$C$53,0))</f>
        <v>5</v>
      </c>
      <c r="N481" s="15">
        <f>INDEX(卡牌图鉴!$AD$2:$AD$53,MATCH(monster!C481,卡牌图鉴!$C$2:$C$53,0))</f>
        <v>8</v>
      </c>
      <c r="O481" s="78">
        <f>INDEX(卡牌图鉴!$K$2:$K$53,MATCH(monster!C481,卡牌图鉴!$C$2:$C$53,0))</f>
        <v>5</v>
      </c>
    </row>
    <row r="482" spans="1:15" x14ac:dyDescent="0.15">
      <c r="A482" s="31">
        <v>1213</v>
      </c>
      <c r="B482" s="31" t="s">
        <v>310</v>
      </c>
      <c r="C482" s="31">
        <v>1206</v>
      </c>
      <c r="D482" s="15">
        <f>INDEX(卡牌图鉴!$S$2:$S$53,MATCH(monster!C482,卡牌图鉴!$C$2:$C$53,0))</f>
        <v>4</v>
      </c>
      <c r="E482" s="31">
        <v>7</v>
      </c>
      <c r="F482" s="15">
        <f>INT(INDEX(卡牌图鉴!$AB$2:$AB$53,MATCH(monster!C482,卡牌图鉴!$C$2:$C$57,0)) * INDEX(数值规划表!$B$61:$B$71,monster!E482+1) * 血量调整)</f>
        <v>1840</v>
      </c>
      <c r="G482" s="15">
        <f>ROUND(INDEX(卡牌图鉴!$AB$2:$AB$53,MATCH(monster!C482,卡牌图鉴!$C$2:$C$57,0)) * INDEX(数值规划表!$D$61:$D$71,monster!E482+1)*血量调整,2)</f>
        <v>55.22</v>
      </c>
      <c r="H482" s="15">
        <f>ROUND(INDEX(卡牌图鉴!$AA$2:$AA$53,MATCH(monster!C482,卡牌图鉴!$C$2:$C$53,0)) * INDEX(数值规划表!$C$61:$C$71,monster!E482+1),2)</f>
        <v>91.19</v>
      </c>
      <c r="I482" s="15">
        <f>ROUND(INDEX(卡牌图鉴!$AA$2:$AA$53,MATCH(monster!C482,卡牌图鉴!$C$2:$C$53,0)) * INDEX(数值规划表!$E$61:$E$71,monster!E482+1),2)</f>
        <v>2.74</v>
      </c>
      <c r="J482" s="15">
        <f>INDEX(卡牌图鉴!$J$2:$J$53,MATCH(monster!C482,卡牌图鉴!$C$2:$C$53,0))</f>
        <v>1.2</v>
      </c>
      <c r="K482" s="15">
        <f>INDEX(卡牌图鉴!$S$2:$S$53,MATCH(monster!C482,卡牌图鉴!$C$2:$C$53,0))</f>
        <v>4</v>
      </c>
      <c r="L482" s="15">
        <f>INDEX(卡牌图鉴!$H$2:$H$53,MATCH(monster!C482,卡牌图鉴!$C$2:$C$53,0))</f>
        <v>1.4</v>
      </c>
      <c r="M482" s="15">
        <f>INDEX(卡牌图鉴!$L$2:$L$53,MATCH(monster!C482,卡牌图鉴!$C$2:$C$53,0))</f>
        <v>5</v>
      </c>
      <c r="N482" s="15">
        <f>INDEX(卡牌图鉴!$AD$2:$AD$53,MATCH(monster!C482,卡牌图鉴!$C$2:$C$53,0))</f>
        <v>8</v>
      </c>
      <c r="O482" s="78">
        <f>INDEX(卡牌图鉴!$K$2:$K$53,MATCH(monster!C482,卡牌图鉴!$C$2:$C$53,0))</f>
        <v>5</v>
      </c>
    </row>
    <row r="483" spans="1:15" x14ac:dyDescent="0.15">
      <c r="A483" s="31">
        <v>1214</v>
      </c>
      <c r="B483" s="31" t="s">
        <v>311</v>
      </c>
      <c r="C483" s="31">
        <v>1206</v>
      </c>
      <c r="D483" s="15">
        <f>INDEX(卡牌图鉴!$S$2:$S$53,MATCH(monster!C483,卡牌图鉴!$C$2:$C$53,0))</f>
        <v>4</v>
      </c>
      <c r="E483" s="31">
        <v>8</v>
      </c>
      <c r="F483" s="15">
        <f>INT(INDEX(卡牌图鉴!$AB$2:$AB$53,MATCH(monster!C483,卡牌图鉴!$C$2:$C$57,0)) * INDEX(数值规划表!$B$61:$B$71,monster!E483+1) * 血量调整)</f>
        <v>2061</v>
      </c>
      <c r="G483" s="15">
        <f>ROUND(INDEX(卡牌图鉴!$AB$2:$AB$53,MATCH(monster!C483,卡牌图鉴!$C$2:$C$57,0)) * INDEX(数值规划表!$D$61:$D$71,monster!E483+1)*血量调整,2)</f>
        <v>61.85</v>
      </c>
      <c r="H483" s="15">
        <f>ROUND(INDEX(卡牌图鉴!$AA$2:$AA$53,MATCH(monster!C483,卡牌图鉴!$C$2:$C$53,0)) * INDEX(数值规划表!$C$61:$C$71,monster!E483+1),2)</f>
        <v>102.13</v>
      </c>
      <c r="I483" s="15">
        <f>ROUND(INDEX(卡牌图鉴!$AA$2:$AA$53,MATCH(monster!C483,卡牌图鉴!$C$2:$C$53,0)) * INDEX(数值规划表!$E$61:$E$71,monster!E483+1),2)</f>
        <v>3.06</v>
      </c>
      <c r="J483" s="15">
        <f>INDEX(卡牌图鉴!$J$2:$J$53,MATCH(monster!C483,卡牌图鉴!$C$2:$C$53,0))</f>
        <v>1.2</v>
      </c>
      <c r="K483" s="15">
        <f>INDEX(卡牌图鉴!$S$2:$S$53,MATCH(monster!C483,卡牌图鉴!$C$2:$C$53,0))</f>
        <v>4</v>
      </c>
      <c r="L483" s="15">
        <f>INDEX(卡牌图鉴!$H$2:$H$53,MATCH(monster!C483,卡牌图鉴!$C$2:$C$53,0))</f>
        <v>1.4</v>
      </c>
      <c r="M483" s="15">
        <f>INDEX(卡牌图鉴!$L$2:$L$53,MATCH(monster!C483,卡牌图鉴!$C$2:$C$53,0))</f>
        <v>5</v>
      </c>
      <c r="N483" s="15">
        <f>INDEX(卡牌图鉴!$AD$2:$AD$53,MATCH(monster!C483,卡牌图鉴!$C$2:$C$53,0))</f>
        <v>8</v>
      </c>
      <c r="O483" s="78">
        <f>INDEX(卡牌图鉴!$K$2:$K$53,MATCH(monster!C483,卡牌图鉴!$C$2:$C$53,0))</f>
        <v>5</v>
      </c>
    </row>
    <row r="484" spans="1:15" x14ac:dyDescent="0.15">
      <c r="A484" s="31">
        <v>1215</v>
      </c>
      <c r="B484" s="31" t="s">
        <v>312</v>
      </c>
      <c r="C484" s="31">
        <v>1206</v>
      </c>
      <c r="D484" s="15">
        <f>INDEX(卡牌图鉴!$S$2:$S$53,MATCH(monster!C484,卡牌图鉴!$C$2:$C$53,0))</f>
        <v>4</v>
      </c>
      <c r="E484" s="31">
        <v>9</v>
      </c>
      <c r="F484" s="15">
        <f>INT(INDEX(卡牌图鉴!$AB$2:$AB$53,MATCH(monster!C484,卡牌图鉴!$C$2:$C$57,0)) * INDEX(数值规划表!$B$61:$B$71,monster!E484+1) * 血量调整)</f>
        <v>2308</v>
      </c>
      <c r="G484" s="15">
        <f>ROUND(INDEX(卡牌图鉴!$AB$2:$AB$53,MATCH(monster!C484,卡牌图鉴!$C$2:$C$57,0)) * INDEX(数值规划表!$D$61:$D$71,monster!E484+1)*血量调整,2)</f>
        <v>69.27</v>
      </c>
      <c r="H484" s="15">
        <f>ROUND(INDEX(卡牌图鉴!$AA$2:$AA$53,MATCH(monster!C484,卡牌图鉴!$C$2:$C$53,0)) * INDEX(数值规划表!$C$61:$C$71,monster!E484+1),2)</f>
        <v>114.39</v>
      </c>
      <c r="I484" s="15">
        <f>ROUND(INDEX(卡牌图鉴!$AA$2:$AA$53,MATCH(monster!C484,卡牌图鉴!$C$2:$C$53,0)) * INDEX(数值规划表!$E$61:$E$71,monster!E484+1),2)</f>
        <v>3.43</v>
      </c>
      <c r="J484" s="15">
        <f>INDEX(卡牌图鉴!$J$2:$J$53,MATCH(monster!C484,卡牌图鉴!$C$2:$C$53,0))</f>
        <v>1.2</v>
      </c>
      <c r="K484" s="15">
        <f>INDEX(卡牌图鉴!$S$2:$S$53,MATCH(monster!C484,卡牌图鉴!$C$2:$C$53,0))</f>
        <v>4</v>
      </c>
      <c r="L484" s="15">
        <f>INDEX(卡牌图鉴!$H$2:$H$53,MATCH(monster!C484,卡牌图鉴!$C$2:$C$53,0))</f>
        <v>1.4</v>
      </c>
      <c r="M484" s="15">
        <f>INDEX(卡牌图鉴!$L$2:$L$53,MATCH(monster!C484,卡牌图鉴!$C$2:$C$53,0))</f>
        <v>5</v>
      </c>
      <c r="N484" s="15">
        <f>INDEX(卡牌图鉴!$AD$2:$AD$53,MATCH(monster!C484,卡牌图鉴!$C$2:$C$53,0))</f>
        <v>8</v>
      </c>
      <c r="O484" s="78">
        <f>INDEX(卡牌图鉴!$K$2:$K$53,MATCH(monster!C484,卡牌图鉴!$C$2:$C$53,0))</f>
        <v>5</v>
      </c>
    </row>
    <row r="485" spans="1:15" x14ac:dyDescent="0.15">
      <c r="A485" s="31">
        <v>1216</v>
      </c>
      <c r="B485" s="31" t="s">
        <v>313</v>
      </c>
      <c r="C485" s="31">
        <v>1206</v>
      </c>
      <c r="D485" s="15">
        <f>INDEX(卡牌图鉴!$S$2:$S$53,MATCH(monster!C485,卡牌图鉴!$C$2:$C$53,0))</f>
        <v>4</v>
      </c>
      <c r="E485" s="31">
        <v>10</v>
      </c>
      <c r="F485" s="15">
        <f>INT(INDEX(卡牌图鉴!$AB$2:$AB$53,MATCH(monster!C485,卡牌图鉴!$C$2:$C$57,0)) * INDEX(数值规划表!$B$61:$B$71,monster!E485+1) * 血量调整)</f>
        <v>2585</v>
      </c>
      <c r="G485" s="15">
        <f>ROUND(INDEX(卡牌图鉴!$AB$2:$AB$53,MATCH(monster!C485,卡牌图鉴!$C$2:$C$57,0)) * INDEX(数值规划表!$D$61:$D$71,monster!E485+1)*血量调整,2)</f>
        <v>77.58</v>
      </c>
      <c r="H485" s="15">
        <f>ROUND(INDEX(卡牌图鉴!$AA$2:$AA$53,MATCH(monster!C485,卡牌图鉴!$C$2:$C$53,0)) * INDEX(数值规划表!$C$61:$C$71,monster!E485+1),2)</f>
        <v>128.12</v>
      </c>
      <c r="I485" s="15">
        <f>ROUND(INDEX(卡牌图鉴!$AA$2:$AA$53,MATCH(monster!C485,卡牌图鉴!$C$2:$C$53,0)) * INDEX(数值规划表!$E$61:$E$71,monster!E485+1),2)</f>
        <v>3.84</v>
      </c>
      <c r="J485" s="15">
        <f>INDEX(卡牌图鉴!$J$2:$J$53,MATCH(monster!C485,卡牌图鉴!$C$2:$C$53,0))</f>
        <v>1.2</v>
      </c>
      <c r="K485" s="15">
        <f>INDEX(卡牌图鉴!$S$2:$S$53,MATCH(monster!C485,卡牌图鉴!$C$2:$C$53,0))</f>
        <v>4</v>
      </c>
      <c r="L485" s="15">
        <f>INDEX(卡牌图鉴!$H$2:$H$53,MATCH(monster!C485,卡牌图鉴!$C$2:$C$53,0))</f>
        <v>1.4</v>
      </c>
      <c r="M485" s="15">
        <f>INDEX(卡牌图鉴!$L$2:$L$53,MATCH(monster!C485,卡牌图鉴!$C$2:$C$53,0))</f>
        <v>5</v>
      </c>
      <c r="N485" s="15">
        <f>INDEX(卡牌图鉴!$AD$2:$AD$53,MATCH(monster!C485,卡牌图鉴!$C$2:$C$53,0))</f>
        <v>8</v>
      </c>
      <c r="O485" s="78">
        <f>INDEX(卡牌图鉴!$K$2:$K$53,MATCH(monster!C485,卡牌图鉴!$C$2:$C$53,0))</f>
        <v>5</v>
      </c>
    </row>
    <row r="486" spans="1:15" x14ac:dyDescent="0.15">
      <c r="A486" s="31">
        <v>1195</v>
      </c>
      <c r="B486" s="31" t="s">
        <v>1477</v>
      </c>
      <c r="C486" s="31">
        <v>1195</v>
      </c>
      <c r="D486" s="15">
        <f>INDEX(卡牌图鉴!$S$2:$S$53,MATCH(monster!C486,卡牌图鉴!$C$2:$C$53,0))</f>
        <v>4</v>
      </c>
      <c r="E486" s="31">
        <v>0</v>
      </c>
      <c r="F486" s="15">
        <f>INT(INDEX(卡牌图鉴!$AB$2:$AB$53,MATCH(monster!C486,卡牌图鉴!$C$2:$C$57,0)) * INDEX(数值规划表!$B$61:$B$71,monster!E486+1) * 血量调整)</f>
        <v>234</v>
      </c>
      <c r="G486" s="15">
        <f>ROUND(INDEX(卡牌图鉴!$AB$2:$AB$53,MATCH(monster!C486,卡牌图鉴!$C$2:$C$57,0)) * INDEX(数值规划表!$D$61:$D$71,monster!E486+1)*血量调整,2)</f>
        <v>7.02</v>
      </c>
      <c r="H486" s="15">
        <f>ROUND(INDEX(卡牌图鉴!$AA$2:$AA$53,MATCH(monster!C486,卡牌图鉴!$C$2:$C$53,0)) * INDEX(数值规划表!$C$61:$C$71,monster!E486+1),2)</f>
        <v>58.49</v>
      </c>
      <c r="I486" s="15">
        <f>ROUND(INDEX(卡牌图鉴!$AA$2:$AA$53,MATCH(monster!C486,卡牌图鉴!$C$2:$C$53,0)) * INDEX(数值规划表!$E$61:$E$71,monster!E486+1),2)</f>
        <v>1.75</v>
      </c>
      <c r="J486" s="15">
        <f>INDEX(卡牌图鉴!$J$2:$J$53,MATCH(monster!C486,卡牌图鉴!$C$2:$C$53,0))</f>
        <v>5</v>
      </c>
      <c r="K486" s="15">
        <f>INDEX(卡牌图鉴!$S$2:$S$53,MATCH(monster!C486,卡牌图鉴!$C$2:$C$53,0))</f>
        <v>4</v>
      </c>
      <c r="L486" s="15">
        <f>INDEX(卡牌图鉴!$H$2:$H$53,MATCH(monster!C486,卡牌图鉴!$C$2:$C$53,0))</f>
        <v>1.4</v>
      </c>
      <c r="M486" s="15">
        <f>INDEX(卡牌图鉴!$L$2:$L$53,MATCH(monster!C486,卡牌图鉴!$C$2:$C$53,0))</f>
        <v>4</v>
      </c>
      <c r="N486" s="15">
        <f>INDEX(卡牌图鉴!$AD$2:$AD$53,MATCH(monster!C486,卡牌图鉴!$C$2:$C$53,0))</f>
        <v>8</v>
      </c>
      <c r="O486" s="78">
        <f>INDEX(卡牌图鉴!$K$2:$K$53,MATCH(monster!C486,卡牌图鉴!$C$2:$C$53,0))</f>
        <v>4</v>
      </c>
    </row>
    <row r="487" spans="1:15" x14ac:dyDescent="0.15">
      <c r="A487" s="31">
        <v>1196</v>
      </c>
      <c r="B487" s="31" t="s">
        <v>1478</v>
      </c>
      <c r="C487" s="31">
        <v>1195</v>
      </c>
      <c r="D487" s="15">
        <f>INDEX(卡牌图鉴!$S$2:$S$53,MATCH(monster!C487,卡牌图鉴!$C$2:$C$53,0))</f>
        <v>4</v>
      </c>
      <c r="E487" s="31">
        <v>1</v>
      </c>
      <c r="F487" s="15">
        <f>INT(INDEX(卡牌图鉴!$AB$2:$AB$53,MATCH(monster!C487,卡牌图鉴!$C$2:$C$57,0)) * INDEX(数值规划表!$B$61:$B$71,monster!E487+1) * 血量调整)</f>
        <v>262</v>
      </c>
      <c r="G487" s="15">
        <f>ROUND(INDEX(卡牌图鉴!$AB$2:$AB$53,MATCH(monster!C487,卡牌图鉴!$C$2:$C$57,0)) * INDEX(数值规划表!$D$61:$D$71,monster!E487+1)*血量调整,2)</f>
        <v>7.86</v>
      </c>
      <c r="H487" s="15">
        <f>ROUND(INDEX(卡牌图鉴!$AA$2:$AA$53,MATCH(monster!C487,卡牌图鉴!$C$2:$C$53,0)) * INDEX(数值规划表!$C$61:$C$71,monster!E487+1),2)</f>
        <v>65.510000000000005</v>
      </c>
      <c r="I487" s="15">
        <f>ROUND(INDEX(卡牌图鉴!$AA$2:$AA$53,MATCH(monster!C487,卡牌图鉴!$C$2:$C$53,0)) * INDEX(数值规划表!$E$61:$E$71,monster!E487+1),2)</f>
        <v>1.97</v>
      </c>
      <c r="J487" s="15">
        <f>INDEX(卡牌图鉴!$J$2:$J$53,MATCH(monster!C487,卡牌图鉴!$C$2:$C$53,0))</f>
        <v>5</v>
      </c>
      <c r="K487" s="15">
        <f>INDEX(卡牌图鉴!$S$2:$S$53,MATCH(monster!C487,卡牌图鉴!$C$2:$C$53,0))</f>
        <v>4</v>
      </c>
      <c r="L487" s="15">
        <f>INDEX(卡牌图鉴!$H$2:$H$53,MATCH(monster!C487,卡牌图鉴!$C$2:$C$53,0))</f>
        <v>1.4</v>
      </c>
      <c r="M487" s="15">
        <f>INDEX(卡牌图鉴!$L$2:$L$53,MATCH(monster!C487,卡牌图鉴!$C$2:$C$53,0))</f>
        <v>4</v>
      </c>
      <c r="N487" s="15">
        <f>INDEX(卡牌图鉴!$AD$2:$AD$53,MATCH(monster!C487,卡牌图鉴!$C$2:$C$53,0))</f>
        <v>8</v>
      </c>
      <c r="O487" s="78">
        <f>INDEX(卡牌图鉴!$K$2:$K$53,MATCH(monster!C487,卡牌图鉴!$C$2:$C$53,0))</f>
        <v>4</v>
      </c>
    </row>
    <row r="488" spans="1:15" x14ac:dyDescent="0.15">
      <c r="A488" s="31">
        <v>1197</v>
      </c>
      <c r="B488" s="31" t="s">
        <v>296</v>
      </c>
      <c r="C488" s="31">
        <v>1195</v>
      </c>
      <c r="D488" s="15">
        <f>INDEX(卡牌图鉴!$S$2:$S$53,MATCH(monster!C488,卡牌图鉴!$C$2:$C$53,0))</f>
        <v>4</v>
      </c>
      <c r="E488" s="31">
        <v>2</v>
      </c>
      <c r="F488" s="15">
        <f>INT(INDEX(卡牌图鉴!$AB$2:$AB$53,MATCH(monster!C488,卡牌图鉴!$C$2:$C$57,0)) * INDEX(数值规划表!$B$61:$B$71,monster!E488+1) * 血量调整)</f>
        <v>293</v>
      </c>
      <c r="G488" s="15">
        <f>ROUND(INDEX(卡牌图鉴!$AB$2:$AB$53,MATCH(monster!C488,卡牌图鉴!$C$2:$C$57,0)) * INDEX(数值规划表!$D$61:$D$71,monster!E488+1)*血量调整,2)</f>
        <v>8.81</v>
      </c>
      <c r="H488" s="15">
        <f>ROUND(INDEX(卡牌图鉴!$AA$2:$AA$53,MATCH(monster!C488,卡牌图鉴!$C$2:$C$53,0)) * INDEX(数值规划表!$C$61:$C$71,monster!E488+1),2)</f>
        <v>73.37</v>
      </c>
      <c r="I488" s="15">
        <f>ROUND(INDEX(卡牌图鉴!$AA$2:$AA$53,MATCH(monster!C488,卡牌图鉴!$C$2:$C$53,0)) * INDEX(数值规划表!$E$61:$E$71,monster!E488+1),2)</f>
        <v>2.2000000000000002</v>
      </c>
      <c r="J488" s="15">
        <f>INDEX(卡牌图鉴!$J$2:$J$53,MATCH(monster!C488,卡牌图鉴!$C$2:$C$53,0))</f>
        <v>5</v>
      </c>
      <c r="K488" s="15">
        <f>INDEX(卡牌图鉴!$S$2:$S$53,MATCH(monster!C488,卡牌图鉴!$C$2:$C$53,0))</f>
        <v>4</v>
      </c>
      <c r="L488" s="15">
        <f>INDEX(卡牌图鉴!$H$2:$H$53,MATCH(monster!C488,卡牌图鉴!$C$2:$C$53,0))</f>
        <v>1.4</v>
      </c>
      <c r="M488" s="15">
        <f>INDEX(卡牌图鉴!$L$2:$L$53,MATCH(monster!C488,卡牌图鉴!$C$2:$C$53,0))</f>
        <v>4</v>
      </c>
      <c r="N488" s="15">
        <f>INDEX(卡牌图鉴!$AD$2:$AD$53,MATCH(monster!C488,卡牌图鉴!$C$2:$C$53,0))</f>
        <v>8</v>
      </c>
      <c r="O488" s="78">
        <f>INDEX(卡牌图鉴!$K$2:$K$53,MATCH(monster!C488,卡牌图鉴!$C$2:$C$53,0))</f>
        <v>4</v>
      </c>
    </row>
    <row r="489" spans="1:15" x14ac:dyDescent="0.15">
      <c r="A489" s="31">
        <v>1198</v>
      </c>
      <c r="B489" s="31" t="s">
        <v>297</v>
      </c>
      <c r="C489" s="31">
        <v>1195</v>
      </c>
      <c r="D489" s="15">
        <f>INDEX(卡牌图鉴!$S$2:$S$53,MATCH(monster!C489,卡牌图鉴!$C$2:$C$53,0))</f>
        <v>4</v>
      </c>
      <c r="E489" s="31">
        <v>3</v>
      </c>
      <c r="F489" s="15">
        <f>INT(INDEX(卡牌图鉴!$AB$2:$AB$53,MATCH(monster!C489,卡牌图鉴!$C$2:$C$57,0)) * INDEX(数值规划表!$B$61:$B$71,monster!E489+1) * 血量调整)</f>
        <v>328</v>
      </c>
      <c r="G489" s="15">
        <f>ROUND(INDEX(卡牌图鉴!$AB$2:$AB$53,MATCH(monster!C489,卡牌图鉴!$C$2:$C$57,0)) * INDEX(数值规划表!$D$61:$D$71,monster!E489+1)*血量调整,2)</f>
        <v>9.8699999999999992</v>
      </c>
      <c r="H489" s="15">
        <f>ROUND(INDEX(卡牌图鉴!$AA$2:$AA$53,MATCH(monster!C489,卡牌图鉴!$C$2:$C$53,0)) * INDEX(数值规划表!$C$61:$C$71,monster!E489+1),2)</f>
        <v>82.17</v>
      </c>
      <c r="I489" s="15">
        <f>ROUND(INDEX(卡牌图鉴!$AA$2:$AA$53,MATCH(monster!C489,卡牌图鉴!$C$2:$C$53,0)) * INDEX(数值规划表!$E$61:$E$71,monster!E489+1),2)</f>
        <v>2.4700000000000002</v>
      </c>
      <c r="J489" s="15">
        <f>INDEX(卡牌图鉴!$J$2:$J$53,MATCH(monster!C489,卡牌图鉴!$C$2:$C$53,0))</f>
        <v>5</v>
      </c>
      <c r="K489" s="15">
        <f>INDEX(卡牌图鉴!$S$2:$S$53,MATCH(monster!C489,卡牌图鉴!$C$2:$C$53,0))</f>
        <v>4</v>
      </c>
      <c r="L489" s="15">
        <f>INDEX(卡牌图鉴!$H$2:$H$53,MATCH(monster!C489,卡牌图鉴!$C$2:$C$53,0))</f>
        <v>1.4</v>
      </c>
      <c r="M489" s="15">
        <f>INDEX(卡牌图鉴!$L$2:$L$53,MATCH(monster!C489,卡牌图鉴!$C$2:$C$53,0))</f>
        <v>4</v>
      </c>
      <c r="N489" s="15">
        <f>INDEX(卡牌图鉴!$AD$2:$AD$53,MATCH(monster!C489,卡牌图鉴!$C$2:$C$53,0))</f>
        <v>8</v>
      </c>
      <c r="O489" s="78">
        <f>INDEX(卡牌图鉴!$K$2:$K$53,MATCH(monster!C489,卡牌图鉴!$C$2:$C$53,0))</f>
        <v>4</v>
      </c>
    </row>
    <row r="490" spans="1:15" x14ac:dyDescent="0.15">
      <c r="A490" s="31">
        <v>1199</v>
      </c>
      <c r="B490" s="31" t="s">
        <v>298</v>
      </c>
      <c r="C490" s="31">
        <v>1195</v>
      </c>
      <c r="D490" s="15">
        <f>INDEX(卡牌图鉴!$S$2:$S$53,MATCH(monster!C490,卡牌图鉴!$C$2:$C$53,0))</f>
        <v>4</v>
      </c>
      <c r="E490" s="31">
        <v>4</v>
      </c>
      <c r="F490" s="15">
        <f>INT(INDEX(卡牌图鉴!$AB$2:$AB$53,MATCH(monster!C490,卡牌图鉴!$C$2:$C$57,0)) * INDEX(数值规划表!$B$61:$B$71,monster!E490+1) * 血量调整)</f>
        <v>368</v>
      </c>
      <c r="G490" s="15">
        <f>ROUND(INDEX(卡牌图鉴!$AB$2:$AB$53,MATCH(monster!C490,卡牌图鉴!$C$2:$C$57,0)) * INDEX(数值规划表!$D$61:$D$71,monster!E490+1)*血量调整,2)</f>
        <v>11.05</v>
      </c>
      <c r="H490" s="15">
        <f>ROUND(INDEX(卡牌图鉴!$AA$2:$AA$53,MATCH(monster!C490,卡牌图鉴!$C$2:$C$53,0)) * INDEX(数值规划表!$C$61:$C$71,monster!E490+1),2)</f>
        <v>92.04</v>
      </c>
      <c r="I490" s="15">
        <f>ROUND(INDEX(卡牌图鉴!$AA$2:$AA$53,MATCH(monster!C490,卡牌图鉴!$C$2:$C$53,0)) * INDEX(数值规划表!$E$61:$E$71,monster!E490+1),2)</f>
        <v>2.76</v>
      </c>
      <c r="J490" s="15">
        <f>INDEX(卡牌图鉴!$J$2:$J$53,MATCH(monster!C490,卡牌图鉴!$C$2:$C$53,0))</f>
        <v>5</v>
      </c>
      <c r="K490" s="15">
        <f>INDEX(卡牌图鉴!$S$2:$S$53,MATCH(monster!C490,卡牌图鉴!$C$2:$C$53,0))</f>
        <v>4</v>
      </c>
      <c r="L490" s="15">
        <f>INDEX(卡牌图鉴!$H$2:$H$53,MATCH(monster!C490,卡牌图鉴!$C$2:$C$53,0))</f>
        <v>1.4</v>
      </c>
      <c r="M490" s="15">
        <f>INDEX(卡牌图鉴!$L$2:$L$53,MATCH(monster!C490,卡牌图鉴!$C$2:$C$53,0))</f>
        <v>4</v>
      </c>
      <c r="N490" s="15">
        <f>INDEX(卡牌图鉴!$AD$2:$AD$53,MATCH(monster!C490,卡牌图鉴!$C$2:$C$53,0))</f>
        <v>8</v>
      </c>
      <c r="O490" s="78">
        <f>INDEX(卡牌图鉴!$K$2:$K$53,MATCH(monster!C490,卡牌图鉴!$C$2:$C$53,0))</f>
        <v>4</v>
      </c>
    </row>
    <row r="491" spans="1:15" x14ac:dyDescent="0.15">
      <c r="A491" s="31">
        <v>1200</v>
      </c>
      <c r="B491" s="31" t="s">
        <v>299</v>
      </c>
      <c r="C491" s="31">
        <v>1195</v>
      </c>
      <c r="D491" s="15">
        <f>INDEX(卡牌图鉴!$S$2:$S$53,MATCH(monster!C491,卡牌图鉴!$C$2:$C$53,0))</f>
        <v>4</v>
      </c>
      <c r="E491" s="31">
        <v>5</v>
      </c>
      <c r="F491" s="15">
        <f>INT(INDEX(卡牌图鉴!$AB$2:$AB$53,MATCH(monster!C491,卡牌图鉴!$C$2:$C$57,0)) * INDEX(数值规划表!$B$61:$B$71,monster!E491+1) * 血量调整)</f>
        <v>412</v>
      </c>
      <c r="G491" s="15">
        <f>ROUND(INDEX(卡牌图鉴!$AB$2:$AB$53,MATCH(monster!C491,卡牌图鉴!$C$2:$C$57,0)) * INDEX(数值规划表!$D$61:$D$71,monster!E491+1)*血量调整,2)</f>
        <v>12.38</v>
      </c>
      <c r="H491" s="15">
        <f>ROUND(INDEX(卡牌图鉴!$AA$2:$AA$53,MATCH(monster!C491,卡牌图鉴!$C$2:$C$53,0)) * INDEX(数值规划表!$C$61:$C$71,monster!E491+1),2)</f>
        <v>103.08</v>
      </c>
      <c r="I491" s="15">
        <f>ROUND(INDEX(卡牌图鉴!$AA$2:$AA$53,MATCH(monster!C491,卡牌图鉴!$C$2:$C$53,0)) * INDEX(数值规划表!$E$61:$E$71,monster!E491+1),2)</f>
        <v>3.09</v>
      </c>
      <c r="J491" s="15">
        <f>INDEX(卡牌图鉴!$J$2:$J$53,MATCH(monster!C491,卡牌图鉴!$C$2:$C$53,0))</f>
        <v>5</v>
      </c>
      <c r="K491" s="15">
        <f>INDEX(卡牌图鉴!$S$2:$S$53,MATCH(monster!C491,卡牌图鉴!$C$2:$C$53,0))</f>
        <v>4</v>
      </c>
      <c r="L491" s="15">
        <f>INDEX(卡牌图鉴!$H$2:$H$53,MATCH(monster!C491,卡牌图鉴!$C$2:$C$53,0))</f>
        <v>1.4</v>
      </c>
      <c r="M491" s="15">
        <f>INDEX(卡牌图鉴!$L$2:$L$53,MATCH(monster!C491,卡牌图鉴!$C$2:$C$53,0))</f>
        <v>4</v>
      </c>
      <c r="N491" s="15">
        <f>INDEX(卡牌图鉴!$AD$2:$AD$53,MATCH(monster!C491,卡牌图鉴!$C$2:$C$53,0))</f>
        <v>8</v>
      </c>
      <c r="O491" s="78">
        <f>INDEX(卡牌图鉴!$K$2:$K$53,MATCH(monster!C491,卡牌图鉴!$C$2:$C$53,0))</f>
        <v>4</v>
      </c>
    </row>
    <row r="492" spans="1:15" x14ac:dyDescent="0.15">
      <c r="A492" s="31">
        <v>1201</v>
      </c>
      <c r="B492" s="31" t="s">
        <v>300</v>
      </c>
      <c r="C492" s="31">
        <v>1195</v>
      </c>
      <c r="D492" s="15">
        <f>INDEX(卡牌图鉴!$S$2:$S$53,MATCH(monster!C492,卡牌图鉴!$C$2:$C$53,0))</f>
        <v>4</v>
      </c>
      <c r="E492" s="31">
        <v>6</v>
      </c>
      <c r="F492" s="15">
        <f>INT(INDEX(卡牌图鉴!$AB$2:$AB$53,MATCH(monster!C492,卡牌图鉴!$C$2:$C$57,0)) * INDEX(数值规划表!$B$61:$B$71,monster!E492+1) * 血量调整)</f>
        <v>462</v>
      </c>
      <c r="G492" s="15">
        <f>ROUND(INDEX(卡牌图鉴!$AB$2:$AB$53,MATCH(monster!C492,卡牌图鉴!$C$2:$C$57,0)) * INDEX(数值规划表!$D$61:$D$71,monster!E492+1)*血量调整,2)</f>
        <v>13.86</v>
      </c>
      <c r="H492" s="15">
        <f>ROUND(INDEX(卡牌图鉴!$AA$2:$AA$53,MATCH(monster!C492,卡牌图鉴!$C$2:$C$53,0)) * INDEX(数值规划表!$C$61:$C$71,monster!E492+1),2)</f>
        <v>115.45</v>
      </c>
      <c r="I492" s="15">
        <f>ROUND(INDEX(卡牌图鉴!$AA$2:$AA$53,MATCH(monster!C492,卡牌图鉴!$C$2:$C$53,0)) * INDEX(数值规划表!$E$61:$E$71,monster!E492+1),2)</f>
        <v>3.46</v>
      </c>
      <c r="J492" s="15">
        <f>INDEX(卡牌图鉴!$J$2:$J$53,MATCH(monster!C492,卡牌图鉴!$C$2:$C$53,0))</f>
        <v>5</v>
      </c>
      <c r="K492" s="15">
        <f>INDEX(卡牌图鉴!$S$2:$S$53,MATCH(monster!C492,卡牌图鉴!$C$2:$C$53,0))</f>
        <v>4</v>
      </c>
      <c r="L492" s="15">
        <f>INDEX(卡牌图鉴!$H$2:$H$53,MATCH(monster!C492,卡牌图鉴!$C$2:$C$53,0))</f>
        <v>1.4</v>
      </c>
      <c r="M492" s="15">
        <f>INDEX(卡牌图鉴!$L$2:$L$53,MATCH(monster!C492,卡牌图鉴!$C$2:$C$53,0))</f>
        <v>4</v>
      </c>
      <c r="N492" s="15">
        <f>INDEX(卡牌图鉴!$AD$2:$AD$53,MATCH(monster!C492,卡牌图鉴!$C$2:$C$53,0))</f>
        <v>8</v>
      </c>
      <c r="O492" s="78">
        <f>INDEX(卡牌图鉴!$K$2:$K$53,MATCH(monster!C492,卡牌图鉴!$C$2:$C$53,0))</f>
        <v>4</v>
      </c>
    </row>
    <row r="493" spans="1:15" x14ac:dyDescent="0.15">
      <c r="A493" s="31">
        <v>1202</v>
      </c>
      <c r="B493" s="31" t="s">
        <v>301</v>
      </c>
      <c r="C493" s="31">
        <v>1195</v>
      </c>
      <c r="D493" s="15">
        <f>INDEX(卡牌图鉴!$S$2:$S$53,MATCH(monster!C493,卡牌图鉴!$C$2:$C$53,0))</f>
        <v>4</v>
      </c>
      <c r="E493" s="31">
        <v>7</v>
      </c>
      <c r="F493" s="15">
        <f>INT(INDEX(卡牌图鉴!$AB$2:$AB$53,MATCH(monster!C493,卡牌图鉴!$C$2:$C$57,0)) * INDEX(数值规划表!$B$61:$B$71,monster!E493+1) * 血量调整)</f>
        <v>517</v>
      </c>
      <c r="G493" s="15">
        <f>ROUND(INDEX(卡牌图鉴!$AB$2:$AB$53,MATCH(monster!C493,卡牌图鉴!$C$2:$C$57,0)) * INDEX(数值规划表!$D$61:$D$71,monster!E493+1)*血量调整,2)</f>
        <v>15.52</v>
      </c>
      <c r="H493" s="15">
        <f>ROUND(INDEX(卡牌图鉴!$AA$2:$AA$53,MATCH(monster!C493,卡牌图鉴!$C$2:$C$53,0)) * INDEX(数值规划表!$C$61:$C$71,monster!E493+1),2)</f>
        <v>129.30000000000001</v>
      </c>
      <c r="I493" s="15">
        <f>ROUND(INDEX(卡牌图鉴!$AA$2:$AA$53,MATCH(monster!C493,卡牌图鉴!$C$2:$C$53,0)) * INDEX(数值规划表!$E$61:$E$71,monster!E493+1),2)</f>
        <v>3.88</v>
      </c>
      <c r="J493" s="15">
        <f>INDEX(卡牌图鉴!$J$2:$J$53,MATCH(monster!C493,卡牌图鉴!$C$2:$C$53,0))</f>
        <v>5</v>
      </c>
      <c r="K493" s="15">
        <f>INDEX(卡牌图鉴!$S$2:$S$53,MATCH(monster!C493,卡牌图鉴!$C$2:$C$53,0))</f>
        <v>4</v>
      </c>
      <c r="L493" s="15">
        <f>INDEX(卡牌图鉴!$H$2:$H$53,MATCH(monster!C493,卡牌图鉴!$C$2:$C$53,0))</f>
        <v>1.4</v>
      </c>
      <c r="M493" s="15">
        <f>INDEX(卡牌图鉴!$L$2:$L$53,MATCH(monster!C493,卡牌图鉴!$C$2:$C$53,0))</f>
        <v>4</v>
      </c>
      <c r="N493" s="15">
        <f>INDEX(卡牌图鉴!$AD$2:$AD$53,MATCH(monster!C493,卡牌图鉴!$C$2:$C$53,0))</f>
        <v>8</v>
      </c>
      <c r="O493" s="78">
        <f>INDEX(卡牌图鉴!$K$2:$K$53,MATCH(monster!C493,卡牌图鉴!$C$2:$C$53,0))</f>
        <v>4</v>
      </c>
    </row>
    <row r="494" spans="1:15" x14ac:dyDescent="0.15">
      <c r="A494" s="31">
        <v>1203</v>
      </c>
      <c r="B494" s="31" t="s">
        <v>302</v>
      </c>
      <c r="C494" s="31">
        <v>1195</v>
      </c>
      <c r="D494" s="15">
        <f>INDEX(卡牌图鉴!$S$2:$S$53,MATCH(monster!C494,卡牌图鉴!$C$2:$C$53,0))</f>
        <v>4</v>
      </c>
      <c r="E494" s="31">
        <v>8</v>
      </c>
      <c r="F494" s="15">
        <f>INT(INDEX(卡牌图鉴!$AB$2:$AB$53,MATCH(monster!C494,卡牌图鉴!$C$2:$C$57,0)) * INDEX(数值规划表!$B$61:$B$71,monster!E494+1) * 血量调整)</f>
        <v>579</v>
      </c>
      <c r="G494" s="15">
        <f>ROUND(INDEX(卡牌图鉴!$AB$2:$AB$53,MATCH(monster!C494,卡牌图鉴!$C$2:$C$57,0)) * INDEX(数值规划表!$D$61:$D$71,monster!E494+1)*血量调整,2)</f>
        <v>17.39</v>
      </c>
      <c r="H494" s="15">
        <f>ROUND(INDEX(卡牌图鉴!$AA$2:$AA$53,MATCH(monster!C494,卡牌图鉴!$C$2:$C$53,0)) * INDEX(数值规划表!$C$61:$C$71,monster!E494+1),2)</f>
        <v>144.82</v>
      </c>
      <c r="I494" s="15">
        <f>ROUND(INDEX(卡牌图鉴!$AA$2:$AA$53,MATCH(monster!C494,卡牌图鉴!$C$2:$C$53,0)) * INDEX(数值规划表!$E$61:$E$71,monster!E494+1),2)</f>
        <v>4.34</v>
      </c>
      <c r="J494" s="15">
        <f>INDEX(卡牌图鉴!$J$2:$J$53,MATCH(monster!C494,卡牌图鉴!$C$2:$C$53,0))</f>
        <v>5</v>
      </c>
      <c r="K494" s="15">
        <f>INDEX(卡牌图鉴!$S$2:$S$53,MATCH(monster!C494,卡牌图鉴!$C$2:$C$53,0))</f>
        <v>4</v>
      </c>
      <c r="L494" s="15">
        <f>INDEX(卡牌图鉴!$H$2:$H$53,MATCH(monster!C494,卡牌图鉴!$C$2:$C$53,0))</f>
        <v>1.4</v>
      </c>
      <c r="M494" s="15">
        <f>INDEX(卡牌图鉴!$L$2:$L$53,MATCH(monster!C494,卡牌图鉴!$C$2:$C$53,0))</f>
        <v>4</v>
      </c>
      <c r="N494" s="15">
        <f>INDEX(卡牌图鉴!$AD$2:$AD$53,MATCH(monster!C494,卡牌图鉴!$C$2:$C$53,0))</f>
        <v>8</v>
      </c>
      <c r="O494" s="78">
        <f>INDEX(卡牌图鉴!$K$2:$K$53,MATCH(monster!C494,卡牌图鉴!$C$2:$C$53,0))</f>
        <v>4</v>
      </c>
    </row>
    <row r="495" spans="1:15" x14ac:dyDescent="0.15">
      <c r="A495" s="31">
        <v>1204</v>
      </c>
      <c r="B495" s="31" t="s">
        <v>303</v>
      </c>
      <c r="C495" s="31">
        <v>1195</v>
      </c>
      <c r="D495" s="15">
        <f>INDEX(卡牌图鉴!$S$2:$S$53,MATCH(monster!C495,卡牌图鉴!$C$2:$C$53,0))</f>
        <v>4</v>
      </c>
      <c r="E495" s="31">
        <v>9</v>
      </c>
      <c r="F495" s="15">
        <f>INT(INDEX(卡牌图鉴!$AB$2:$AB$53,MATCH(monster!C495,卡牌图鉴!$C$2:$C$57,0)) * INDEX(数值规划表!$B$61:$B$71,monster!E495+1) * 血量调整)</f>
        <v>649</v>
      </c>
      <c r="G495" s="15">
        <f>ROUND(INDEX(卡牌图鉴!$AB$2:$AB$53,MATCH(monster!C495,卡牌图鉴!$C$2:$C$57,0)) * INDEX(数值规划表!$D$61:$D$71,monster!E495+1)*血量调整,2)</f>
        <v>19.47</v>
      </c>
      <c r="H495" s="15">
        <f>ROUND(INDEX(卡牌图鉴!$AA$2:$AA$53,MATCH(monster!C495,卡牌图鉴!$C$2:$C$53,0)) * INDEX(数值规划表!$C$61:$C$71,monster!E495+1),2)</f>
        <v>162.19999999999999</v>
      </c>
      <c r="I495" s="15">
        <f>ROUND(INDEX(卡牌图鉴!$AA$2:$AA$53,MATCH(monster!C495,卡牌图鉴!$C$2:$C$53,0)) * INDEX(数值规划表!$E$61:$E$71,monster!E495+1),2)</f>
        <v>4.87</v>
      </c>
      <c r="J495" s="15">
        <f>INDEX(卡牌图鉴!$J$2:$J$53,MATCH(monster!C495,卡牌图鉴!$C$2:$C$53,0))</f>
        <v>5</v>
      </c>
      <c r="K495" s="15">
        <f>INDEX(卡牌图鉴!$S$2:$S$53,MATCH(monster!C495,卡牌图鉴!$C$2:$C$53,0))</f>
        <v>4</v>
      </c>
      <c r="L495" s="15">
        <f>INDEX(卡牌图鉴!$H$2:$H$53,MATCH(monster!C495,卡牌图鉴!$C$2:$C$53,0))</f>
        <v>1.4</v>
      </c>
      <c r="M495" s="15">
        <f>INDEX(卡牌图鉴!$L$2:$L$53,MATCH(monster!C495,卡牌图鉴!$C$2:$C$53,0))</f>
        <v>4</v>
      </c>
      <c r="N495" s="15">
        <f>INDEX(卡牌图鉴!$AD$2:$AD$53,MATCH(monster!C495,卡牌图鉴!$C$2:$C$53,0))</f>
        <v>8</v>
      </c>
      <c r="O495" s="78">
        <f>INDEX(卡牌图鉴!$K$2:$K$53,MATCH(monster!C495,卡牌图鉴!$C$2:$C$53,0))</f>
        <v>4</v>
      </c>
    </row>
    <row r="496" spans="1:15" x14ac:dyDescent="0.15">
      <c r="A496" s="31">
        <v>1205</v>
      </c>
      <c r="B496" s="31" t="s">
        <v>304</v>
      </c>
      <c r="C496" s="31">
        <v>1195</v>
      </c>
      <c r="D496" s="15">
        <f>INDEX(卡牌图鉴!$S$2:$S$53,MATCH(monster!C496,卡牌图鉴!$C$2:$C$53,0))</f>
        <v>4</v>
      </c>
      <c r="E496" s="31">
        <v>10</v>
      </c>
      <c r="F496" s="15">
        <f>INT(INDEX(卡牌图鉴!$AB$2:$AB$53,MATCH(monster!C496,卡牌图鉴!$C$2:$C$57,0)) * INDEX(数值规划表!$B$61:$B$71,monster!E496+1) * 血量调整)</f>
        <v>726</v>
      </c>
      <c r="G496" s="15">
        <f>ROUND(INDEX(卡牌图鉴!$AB$2:$AB$53,MATCH(monster!C496,卡牌图鉴!$C$2:$C$57,0)) * INDEX(数值规划表!$D$61:$D$71,monster!E496+1)*血量调整,2)</f>
        <v>21.81</v>
      </c>
      <c r="H496" s="15">
        <f>ROUND(INDEX(卡牌图鉴!$AA$2:$AA$53,MATCH(monster!C496,卡牌图鉴!$C$2:$C$53,0)) * INDEX(数值规划表!$C$61:$C$71,monster!E496+1),2)</f>
        <v>181.66</v>
      </c>
      <c r="I496" s="15">
        <f>ROUND(INDEX(卡牌图鉴!$AA$2:$AA$53,MATCH(monster!C496,卡牌图鉴!$C$2:$C$53,0)) * INDEX(数值规划表!$E$61:$E$71,monster!E496+1),2)</f>
        <v>5.45</v>
      </c>
      <c r="J496" s="15">
        <f>INDEX(卡牌图鉴!$J$2:$J$53,MATCH(monster!C496,卡牌图鉴!$C$2:$C$53,0))</f>
        <v>5</v>
      </c>
      <c r="K496" s="15">
        <f>INDEX(卡牌图鉴!$S$2:$S$53,MATCH(monster!C496,卡牌图鉴!$C$2:$C$53,0))</f>
        <v>4</v>
      </c>
      <c r="L496" s="15">
        <f>INDEX(卡牌图鉴!$H$2:$H$53,MATCH(monster!C496,卡牌图鉴!$C$2:$C$53,0))</f>
        <v>1.4</v>
      </c>
      <c r="M496" s="15">
        <f>INDEX(卡牌图鉴!$L$2:$L$53,MATCH(monster!C496,卡牌图鉴!$C$2:$C$53,0))</f>
        <v>4</v>
      </c>
      <c r="N496" s="15">
        <f>INDEX(卡牌图鉴!$AD$2:$AD$53,MATCH(monster!C496,卡牌图鉴!$C$2:$C$53,0))</f>
        <v>8</v>
      </c>
      <c r="O496" s="78">
        <f>INDEX(卡牌图鉴!$K$2:$K$53,MATCH(monster!C496,卡牌图鉴!$C$2:$C$53,0))</f>
        <v>4</v>
      </c>
    </row>
    <row r="497" spans="1:15" x14ac:dyDescent="0.15">
      <c r="A497" s="31">
        <v>1089</v>
      </c>
      <c r="B497" s="31" t="s">
        <v>1366</v>
      </c>
      <c r="C497" s="31">
        <v>1089</v>
      </c>
      <c r="D497" s="15">
        <f>INDEX(卡牌图鉴!$S$2:$S$53,MATCH(monster!C497,卡牌图鉴!$C$2:$C$53,0))</f>
        <v>4</v>
      </c>
      <c r="E497" s="31">
        <v>0</v>
      </c>
      <c r="F497" s="15">
        <f>INT(INDEX(卡牌图鉴!$AB$2:$AB$53,MATCH(monster!C497,卡牌图鉴!$C$2:$C$57,0)) * INDEX(数值规划表!$B$61:$B$71,monster!E497+1) * 血量调整)</f>
        <v>224</v>
      </c>
      <c r="G497" s="15">
        <f>ROUND(INDEX(卡牌图鉴!$AB$2:$AB$53,MATCH(monster!C497,卡牌图鉴!$C$2:$C$57,0)) * INDEX(数值规划表!$D$61:$D$71,monster!E497+1)*血量调整,2)</f>
        <v>6.75</v>
      </c>
      <c r="H497" s="15">
        <f>ROUND(INDEX(卡牌图鉴!$AA$2:$AA$53,MATCH(monster!C497,卡牌图鉴!$C$2:$C$53,0)) * INDEX(数值规划表!$C$61:$C$71,monster!E497+1),2)</f>
        <v>58.94</v>
      </c>
      <c r="I497" s="15">
        <f>ROUND(INDEX(卡牌图鉴!$AA$2:$AA$53,MATCH(monster!C497,卡牌图鉴!$C$2:$C$53,0)) * INDEX(数值规划表!$E$61:$E$71,monster!E497+1),2)</f>
        <v>1.77</v>
      </c>
      <c r="J497" s="15">
        <f>INDEX(卡牌图鉴!$J$2:$J$53,MATCH(monster!C497,卡牌图鉴!$C$2:$C$53,0))</f>
        <v>5</v>
      </c>
      <c r="K497" s="15">
        <f>INDEX(卡牌图鉴!$S$2:$S$53,MATCH(monster!C497,卡牌图鉴!$C$2:$C$53,0))</f>
        <v>4</v>
      </c>
      <c r="L497" s="15">
        <f>INDEX(卡牌图鉴!$H$2:$H$53,MATCH(monster!C497,卡牌图鉴!$C$2:$C$53,0))</f>
        <v>1.4</v>
      </c>
      <c r="M497" s="15">
        <f>INDEX(卡牌图鉴!$L$2:$L$53,MATCH(monster!C497,卡牌图鉴!$C$2:$C$53,0))</f>
        <v>3</v>
      </c>
      <c r="N497" s="15">
        <f>INDEX(卡牌图鉴!$AD$2:$AD$53,MATCH(monster!C497,卡牌图鉴!$C$2:$C$53,0))</f>
        <v>8</v>
      </c>
      <c r="O497" s="78">
        <f>INDEX(卡牌图鉴!$K$2:$K$53,MATCH(monster!C497,卡牌图鉴!$C$2:$C$53,0))</f>
        <v>3</v>
      </c>
    </row>
    <row r="498" spans="1:15" x14ac:dyDescent="0.15">
      <c r="A498" s="31">
        <v>1090</v>
      </c>
      <c r="B498" s="31" t="s">
        <v>1400</v>
      </c>
      <c r="C498" s="31">
        <v>1089</v>
      </c>
      <c r="D498" s="15">
        <f>INDEX(卡牌图鉴!$S$2:$S$53,MATCH(monster!C498,卡牌图鉴!$C$2:$C$53,0))</f>
        <v>4</v>
      </c>
      <c r="E498" s="31">
        <v>1</v>
      </c>
      <c r="F498" s="15">
        <f>INT(INDEX(卡牌图鉴!$AB$2:$AB$53,MATCH(monster!C498,卡牌图鉴!$C$2:$C$57,0)) * INDEX(数值规划表!$B$61:$B$71,monster!E498+1) * 血量调整)</f>
        <v>251</v>
      </c>
      <c r="G498" s="15">
        <f>ROUND(INDEX(卡牌图鉴!$AB$2:$AB$53,MATCH(monster!C498,卡牌图鉴!$C$2:$C$57,0)) * INDEX(数值规划表!$D$61:$D$71,monster!E498+1)*血量调整,2)</f>
        <v>7.56</v>
      </c>
      <c r="H498" s="15">
        <f>ROUND(INDEX(卡牌图鉴!$AA$2:$AA$53,MATCH(monster!C498,卡牌图鉴!$C$2:$C$53,0)) * INDEX(数值规划表!$C$61:$C$71,monster!E498+1),2)</f>
        <v>66.010000000000005</v>
      </c>
      <c r="I498" s="15">
        <f>ROUND(INDEX(卡牌图鉴!$AA$2:$AA$53,MATCH(monster!C498,卡牌图鉴!$C$2:$C$53,0)) * INDEX(数值规划表!$E$61:$E$71,monster!E498+1),2)</f>
        <v>1.98</v>
      </c>
      <c r="J498" s="15">
        <f>INDEX(卡牌图鉴!$J$2:$J$53,MATCH(monster!C498,卡牌图鉴!$C$2:$C$53,0))</f>
        <v>5</v>
      </c>
      <c r="K498" s="15">
        <f>INDEX(卡牌图鉴!$S$2:$S$53,MATCH(monster!C498,卡牌图鉴!$C$2:$C$53,0))</f>
        <v>4</v>
      </c>
      <c r="L498" s="15">
        <f>INDEX(卡牌图鉴!$H$2:$H$53,MATCH(monster!C498,卡牌图鉴!$C$2:$C$53,0))</f>
        <v>1.4</v>
      </c>
      <c r="M498" s="15">
        <f>INDEX(卡牌图鉴!$L$2:$L$53,MATCH(monster!C498,卡牌图鉴!$C$2:$C$53,0))</f>
        <v>3</v>
      </c>
      <c r="N498" s="15">
        <f>INDEX(卡牌图鉴!$AD$2:$AD$53,MATCH(monster!C498,卡牌图鉴!$C$2:$C$53,0))</f>
        <v>8</v>
      </c>
      <c r="O498" s="78">
        <f>INDEX(卡牌图鉴!$K$2:$K$53,MATCH(monster!C498,卡牌图鉴!$C$2:$C$53,0))</f>
        <v>3</v>
      </c>
    </row>
    <row r="499" spans="1:15" x14ac:dyDescent="0.15">
      <c r="A499" s="31">
        <v>1091</v>
      </c>
      <c r="B499" s="31" t="s">
        <v>223</v>
      </c>
      <c r="C499" s="31">
        <v>1089</v>
      </c>
      <c r="D499" s="15">
        <f>INDEX(卡牌图鉴!$S$2:$S$53,MATCH(monster!C499,卡牌图鉴!$C$2:$C$53,0))</f>
        <v>4</v>
      </c>
      <c r="E499" s="31">
        <v>2</v>
      </c>
      <c r="F499" s="15">
        <f>INT(INDEX(卡牌图鉴!$AB$2:$AB$53,MATCH(monster!C499,卡牌图鉴!$C$2:$C$57,0)) * INDEX(数值规划表!$B$61:$B$71,monster!E499+1) * 血量调整)</f>
        <v>282</v>
      </c>
      <c r="G499" s="15">
        <f>ROUND(INDEX(卡牌图鉴!$AB$2:$AB$53,MATCH(monster!C499,卡牌图鉴!$C$2:$C$57,0)) * INDEX(数值规划表!$D$61:$D$71,monster!E499+1)*血量调整,2)</f>
        <v>8.4700000000000006</v>
      </c>
      <c r="H499" s="15">
        <f>ROUND(INDEX(卡牌图鉴!$AA$2:$AA$53,MATCH(monster!C499,卡牌图鉴!$C$2:$C$53,0)) * INDEX(数值规划表!$C$61:$C$71,monster!E499+1),2)</f>
        <v>73.930000000000007</v>
      </c>
      <c r="I499" s="15">
        <f>ROUND(INDEX(卡牌图鉴!$AA$2:$AA$53,MATCH(monster!C499,卡牌图鉴!$C$2:$C$53,0)) * INDEX(数值规划表!$E$61:$E$71,monster!E499+1),2)</f>
        <v>2.2200000000000002</v>
      </c>
      <c r="J499" s="15">
        <f>INDEX(卡牌图鉴!$J$2:$J$53,MATCH(monster!C499,卡牌图鉴!$C$2:$C$53,0))</f>
        <v>5</v>
      </c>
      <c r="K499" s="15">
        <f>INDEX(卡牌图鉴!$S$2:$S$53,MATCH(monster!C499,卡牌图鉴!$C$2:$C$53,0))</f>
        <v>4</v>
      </c>
      <c r="L499" s="15">
        <f>INDEX(卡牌图鉴!$H$2:$H$53,MATCH(monster!C499,卡牌图鉴!$C$2:$C$53,0))</f>
        <v>1.4</v>
      </c>
      <c r="M499" s="15">
        <f>INDEX(卡牌图鉴!$L$2:$L$53,MATCH(monster!C499,卡牌图鉴!$C$2:$C$53,0))</f>
        <v>3</v>
      </c>
      <c r="N499" s="15">
        <f>INDEX(卡牌图鉴!$AD$2:$AD$53,MATCH(monster!C499,卡牌图鉴!$C$2:$C$53,0))</f>
        <v>8</v>
      </c>
      <c r="O499" s="78">
        <f>INDEX(卡牌图鉴!$K$2:$K$53,MATCH(monster!C499,卡牌图鉴!$C$2:$C$53,0))</f>
        <v>3</v>
      </c>
    </row>
    <row r="500" spans="1:15" x14ac:dyDescent="0.15">
      <c r="A500" s="31">
        <v>1092</v>
      </c>
      <c r="B500" s="31" t="s">
        <v>224</v>
      </c>
      <c r="C500" s="31">
        <v>1089</v>
      </c>
      <c r="D500" s="15">
        <f>INDEX(卡牌图鉴!$S$2:$S$53,MATCH(monster!C500,卡牌图鉴!$C$2:$C$53,0))</f>
        <v>4</v>
      </c>
      <c r="E500" s="31">
        <v>3</v>
      </c>
      <c r="F500" s="15">
        <f>INT(INDEX(卡牌图鉴!$AB$2:$AB$53,MATCH(monster!C500,卡牌图鉴!$C$2:$C$57,0)) * INDEX(数值规划表!$B$61:$B$71,monster!E500+1) * 血量调整)</f>
        <v>316</v>
      </c>
      <c r="G500" s="15">
        <f>ROUND(INDEX(卡牌图鉴!$AB$2:$AB$53,MATCH(monster!C500,卡牌图鉴!$C$2:$C$57,0)) * INDEX(数值规划表!$D$61:$D$71,monster!E500+1)*血量调整,2)</f>
        <v>9.48</v>
      </c>
      <c r="H500" s="15">
        <f>ROUND(INDEX(卡牌图鉴!$AA$2:$AA$53,MATCH(monster!C500,卡牌图鉴!$C$2:$C$53,0)) * INDEX(数值规划表!$C$61:$C$71,monster!E500+1),2)</f>
        <v>82.81</v>
      </c>
      <c r="I500" s="15">
        <f>ROUND(INDEX(卡牌图鉴!$AA$2:$AA$53,MATCH(monster!C500,卡牌图鉴!$C$2:$C$53,0)) * INDEX(数值规划表!$E$61:$E$71,monster!E500+1),2)</f>
        <v>2.48</v>
      </c>
      <c r="J500" s="15">
        <f>INDEX(卡牌图鉴!$J$2:$J$53,MATCH(monster!C500,卡牌图鉴!$C$2:$C$53,0))</f>
        <v>5</v>
      </c>
      <c r="K500" s="15">
        <f>INDEX(卡牌图鉴!$S$2:$S$53,MATCH(monster!C500,卡牌图鉴!$C$2:$C$53,0))</f>
        <v>4</v>
      </c>
      <c r="L500" s="15">
        <f>INDEX(卡牌图鉴!$H$2:$H$53,MATCH(monster!C500,卡牌图鉴!$C$2:$C$53,0))</f>
        <v>1.4</v>
      </c>
      <c r="M500" s="15">
        <f>INDEX(卡牌图鉴!$L$2:$L$53,MATCH(monster!C500,卡牌图鉴!$C$2:$C$53,0))</f>
        <v>3</v>
      </c>
      <c r="N500" s="15">
        <f>INDEX(卡牌图鉴!$AD$2:$AD$53,MATCH(monster!C500,卡牌图鉴!$C$2:$C$53,0))</f>
        <v>8</v>
      </c>
      <c r="O500" s="78">
        <f>INDEX(卡牌图鉴!$K$2:$K$53,MATCH(monster!C500,卡牌图鉴!$C$2:$C$53,0))</f>
        <v>3</v>
      </c>
    </row>
    <row r="501" spans="1:15" x14ac:dyDescent="0.15">
      <c r="A501" s="31">
        <v>1093</v>
      </c>
      <c r="B501" s="31" t="s">
        <v>225</v>
      </c>
      <c r="C501" s="31">
        <v>1089</v>
      </c>
      <c r="D501" s="15">
        <f>INDEX(卡牌图鉴!$S$2:$S$53,MATCH(monster!C501,卡牌图鉴!$C$2:$C$53,0))</f>
        <v>4</v>
      </c>
      <c r="E501" s="31">
        <v>4</v>
      </c>
      <c r="F501" s="15">
        <f>INT(INDEX(卡牌图鉴!$AB$2:$AB$53,MATCH(monster!C501,卡牌图鉴!$C$2:$C$57,0)) * INDEX(数值规划表!$B$61:$B$71,monster!E501+1) * 血量调整)</f>
        <v>354</v>
      </c>
      <c r="G501" s="15">
        <f>ROUND(INDEX(卡牌图鉴!$AB$2:$AB$53,MATCH(monster!C501,卡牌图鉴!$C$2:$C$57,0)) * INDEX(数值规划表!$D$61:$D$71,monster!E501+1)*血量调整,2)</f>
        <v>10.62</v>
      </c>
      <c r="H501" s="15">
        <f>ROUND(INDEX(卡牌图鉴!$AA$2:$AA$53,MATCH(monster!C501,卡牌图鉴!$C$2:$C$53,0)) * INDEX(数值规划表!$C$61:$C$71,monster!E501+1),2)</f>
        <v>92.74</v>
      </c>
      <c r="I501" s="15">
        <f>ROUND(INDEX(卡牌图鉴!$AA$2:$AA$53,MATCH(monster!C501,卡牌图鉴!$C$2:$C$53,0)) * INDEX(数值规划表!$E$61:$E$71,monster!E501+1),2)</f>
        <v>2.78</v>
      </c>
      <c r="J501" s="15">
        <f>INDEX(卡牌图鉴!$J$2:$J$53,MATCH(monster!C501,卡牌图鉴!$C$2:$C$53,0))</f>
        <v>5</v>
      </c>
      <c r="K501" s="15">
        <f>INDEX(卡牌图鉴!$S$2:$S$53,MATCH(monster!C501,卡牌图鉴!$C$2:$C$53,0))</f>
        <v>4</v>
      </c>
      <c r="L501" s="15">
        <f>INDEX(卡牌图鉴!$H$2:$H$53,MATCH(monster!C501,卡牌图鉴!$C$2:$C$53,0))</f>
        <v>1.4</v>
      </c>
      <c r="M501" s="15">
        <f>INDEX(卡牌图鉴!$L$2:$L$53,MATCH(monster!C501,卡牌图鉴!$C$2:$C$53,0))</f>
        <v>3</v>
      </c>
      <c r="N501" s="15">
        <f>INDEX(卡牌图鉴!$AD$2:$AD$53,MATCH(monster!C501,卡牌图鉴!$C$2:$C$53,0))</f>
        <v>8</v>
      </c>
      <c r="O501" s="78">
        <f>INDEX(卡牌图鉴!$K$2:$K$53,MATCH(monster!C501,卡牌图鉴!$C$2:$C$53,0))</f>
        <v>3</v>
      </c>
    </row>
    <row r="502" spans="1:15" x14ac:dyDescent="0.15">
      <c r="A502" s="31">
        <v>1094</v>
      </c>
      <c r="B502" s="31" t="s">
        <v>226</v>
      </c>
      <c r="C502" s="31">
        <v>1089</v>
      </c>
      <c r="D502" s="15">
        <f>INDEX(卡牌图鉴!$S$2:$S$53,MATCH(monster!C502,卡牌图鉴!$C$2:$C$53,0))</f>
        <v>4</v>
      </c>
      <c r="E502" s="31">
        <v>5</v>
      </c>
      <c r="F502" s="15">
        <f>INT(INDEX(卡牌图鉴!$AB$2:$AB$53,MATCH(monster!C502,卡牌图鉴!$C$2:$C$57,0)) * INDEX(数值规划表!$B$61:$B$71,monster!E502+1) * 血量调整)</f>
        <v>396</v>
      </c>
      <c r="G502" s="15">
        <f>ROUND(INDEX(卡牌图鉴!$AB$2:$AB$53,MATCH(monster!C502,卡牌图鉴!$C$2:$C$57,0)) * INDEX(数值规划表!$D$61:$D$71,monster!E502+1)*血量调整,2)</f>
        <v>11.89</v>
      </c>
      <c r="H502" s="15">
        <f>ROUND(INDEX(卡牌图鉴!$AA$2:$AA$53,MATCH(monster!C502,卡牌图鉴!$C$2:$C$53,0)) * INDEX(数值规划表!$C$61:$C$71,monster!E502+1),2)</f>
        <v>103.87</v>
      </c>
      <c r="I502" s="15">
        <f>ROUND(INDEX(卡牌图鉴!$AA$2:$AA$53,MATCH(monster!C502,卡牌图鉴!$C$2:$C$53,0)) * INDEX(数值规划表!$E$61:$E$71,monster!E502+1),2)</f>
        <v>3.12</v>
      </c>
      <c r="J502" s="15">
        <f>INDEX(卡牌图鉴!$J$2:$J$53,MATCH(monster!C502,卡牌图鉴!$C$2:$C$53,0))</f>
        <v>5</v>
      </c>
      <c r="K502" s="15">
        <f>INDEX(卡牌图鉴!$S$2:$S$53,MATCH(monster!C502,卡牌图鉴!$C$2:$C$53,0))</f>
        <v>4</v>
      </c>
      <c r="L502" s="15">
        <f>INDEX(卡牌图鉴!$H$2:$H$53,MATCH(monster!C502,卡牌图鉴!$C$2:$C$53,0))</f>
        <v>1.4</v>
      </c>
      <c r="M502" s="15">
        <f>INDEX(卡牌图鉴!$L$2:$L$53,MATCH(monster!C502,卡牌图鉴!$C$2:$C$53,0))</f>
        <v>3</v>
      </c>
      <c r="N502" s="15">
        <f>INDEX(卡牌图鉴!$AD$2:$AD$53,MATCH(monster!C502,卡牌图鉴!$C$2:$C$53,0))</f>
        <v>8</v>
      </c>
      <c r="O502" s="78">
        <f>INDEX(卡牌图鉴!$K$2:$K$53,MATCH(monster!C502,卡牌图鉴!$C$2:$C$53,0))</f>
        <v>3</v>
      </c>
    </row>
    <row r="503" spans="1:15" x14ac:dyDescent="0.15">
      <c r="A503" s="31">
        <v>1095</v>
      </c>
      <c r="B503" s="31" t="s">
        <v>227</v>
      </c>
      <c r="C503" s="31">
        <v>1089</v>
      </c>
      <c r="D503" s="15">
        <f>INDEX(卡牌图鉴!$S$2:$S$53,MATCH(monster!C503,卡牌图鉴!$C$2:$C$53,0))</f>
        <v>4</v>
      </c>
      <c r="E503" s="31">
        <v>6</v>
      </c>
      <c r="F503" s="15">
        <f>INT(INDEX(卡牌图鉴!$AB$2:$AB$53,MATCH(monster!C503,卡牌图鉴!$C$2:$C$57,0)) * INDEX(数值规划表!$B$61:$B$71,monster!E503+1) * 血量调整)</f>
        <v>444</v>
      </c>
      <c r="G503" s="15">
        <f>ROUND(INDEX(卡牌图鉴!$AB$2:$AB$53,MATCH(monster!C503,卡牌图鉴!$C$2:$C$57,0)) * INDEX(数值规划表!$D$61:$D$71,monster!E503+1)*血量调整,2)</f>
        <v>13.32</v>
      </c>
      <c r="H503" s="15">
        <f>ROUND(INDEX(卡牌图鉴!$AA$2:$AA$53,MATCH(monster!C503,卡牌图鉴!$C$2:$C$53,0)) * INDEX(数值规划表!$C$61:$C$71,monster!E503+1),2)</f>
        <v>116.34</v>
      </c>
      <c r="I503" s="15">
        <f>ROUND(INDEX(卡牌图鉴!$AA$2:$AA$53,MATCH(monster!C503,卡牌图鉴!$C$2:$C$53,0)) * INDEX(数值规划表!$E$61:$E$71,monster!E503+1),2)</f>
        <v>3.49</v>
      </c>
      <c r="J503" s="15">
        <f>INDEX(卡牌图鉴!$J$2:$J$53,MATCH(monster!C503,卡牌图鉴!$C$2:$C$53,0))</f>
        <v>5</v>
      </c>
      <c r="K503" s="15">
        <f>INDEX(卡牌图鉴!$S$2:$S$53,MATCH(monster!C503,卡牌图鉴!$C$2:$C$53,0))</f>
        <v>4</v>
      </c>
      <c r="L503" s="15">
        <f>INDEX(卡牌图鉴!$H$2:$H$53,MATCH(monster!C503,卡牌图鉴!$C$2:$C$53,0))</f>
        <v>1.4</v>
      </c>
      <c r="M503" s="15">
        <f>INDEX(卡牌图鉴!$L$2:$L$53,MATCH(monster!C503,卡牌图鉴!$C$2:$C$53,0))</f>
        <v>3</v>
      </c>
      <c r="N503" s="15">
        <f>INDEX(卡牌图鉴!$AD$2:$AD$53,MATCH(monster!C503,卡牌图鉴!$C$2:$C$53,0))</f>
        <v>8</v>
      </c>
      <c r="O503" s="78">
        <f>INDEX(卡牌图鉴!$K$2:$K$53,MATCH(monster!C503,卡牌图鉴!$C$2:$C$53,0))</f>
        <v>3</v>
      </c>
    </row>
    <row r="504" spans="1:15" x14ac:dyDescent="0.15">
      <c r="A504" s="31">
        <v>1096</v>
      </c>
      <c r="B504" s="31" t="s">
        <v>228</v>
      </c>
      <c r="C504" s="31">
        <v>1089</v>
      </c>
      <c r="D504" s="15">
        <f>INDEX(卡牌图鉴!$S$2:$S$53,MATCH(monster!C504,卡牌图鉴!$C$2:$C$53,0))</f>
        <v>4</v>
      </c>
      <c r="E504" s="31">
        <v>7</v>
      </c>
      <c r="F504" s="15">
        <f>INT(INDEX(卡牌图鉴!$AB$2:$AB$53,MATCH(monster!C504,卡牌图鉴!$C$2:$C$57,0)) * INDEX(数值规划表!$B$61:$B$71,monster!E504+1) * 血量调整)</f>
        <v>497</v>
      </c>
      <c r="G504" s="15">
        <f>ROUND(INDEX(卡牌图鉴!$AB$2:$AB$53,MATCH(monster!C504,卡牌图鉴!$C$2:$C$57,0)) * INDEX(数值规划表!$D$61:$D$71,monster!E504+1)*血量调整,2)</f>
        <v>14.92</v>
      </c>
      <c r="H504" s="15">
        <f>ROUND(INDEX(卡牌图鉴!$AA$2:$AA$53,MATCH(monster!C504,卡牌图鉴!$C$2:$C$53,0)) * INDEX(数值规划表!$C$61:$C$71,monster!E504+1),2)</f>
        <v>130.30000000000001</v>
      </c>
      <c r="I504" s="15">
        <f>ROUND(INDEX(卡牌图鉴!$AA$2:$AA$53,MATCH(monster!C504,卡牌图鉴!$C$2:$C$53,0)) * INDEX(数值规划表!$E$61:$E$71,monster!E504+1),2)</f>
        <v>3.91</v>
      </c>
      <c r="J504" s="15">
        <f>INDEX(卡牌图鉴!$J$2:$J$53,MATCH(monster!C504,卡牌图鉴!$C$2:$C$53,0))</f>
        <v>5</v>
      </c>
      <c r="K504" s="15">
        <f>INDEX(卡牌图鉴!$S$2:$S$53,MATCH(monster!C504,卡牌图鉴!$C$2:$C$53,0))</f>
        <v>4</v>
      </c>
      <c r="L504" s="15">
        <f>INDEX(卡牌图鉴!$H$2:$H$53,MATCH(monster!C504,卡牌图鉴!$C$2:$C$53,0))</f>
        <v>1.4</v>
      </c>
      <c r="M504" s="15">
        <f>INDEX(卡牌图鉴!$L$2:$L$53,MATCH(monster!C504,卡牌图鉴!$C$2:$C$53,0))</f>
        <v>3</v>
      </c>
      <c r="N504" s="15">
        <f>INDEX(卡牌图鉴!$AD$2:$AD$53,MATCH(monster!C504,卡牌图鉴!$C$2:$C$53,0))</f>
        <v>8</v>
      </c>
      <c r="O504" s="78">
        <f>INDEX(卡牌图鉴!$K$2:$K$53,MATCH(monster!C504,卡牌图鉴!$C$2:$C$53,0))</f>
        <v>3</v>
      </c>
    </row>
    <row r="505" spans="1:15" x14ac:dyDescent="0.15">
      <c r="A505" s="31">
        <v>1097</v>
      </c>
      <c r="B505" s="31" t="s">
        <v>229</v>
      </c>
      <c r="C505" s="31">
        <v>1089</v>
      </c>
      <c r="D505" s="15">
        <f>INDEX(卡牌图鉴!$S$2:$S$53,MATCH(monster!C505,卡牌图鉴!$C$2:$C$53,0))</f>
        <v>4</v>
      </c>
      <c r="E505" s="31">
        <v>8</v>
      </c>
      <c r="F505" s="15">
        <f>INT(INDEX(卡牌图鉴!$AB$2:$AB$53,MATCH(monster!C505,卡牌图鉴!$C$2:$C$57,0)) * INDEX(数值规划表!$B$61:$B$71,monster!E505+1) * 血量调整)</f>
        <v>557</v>
      </c>
      <c r="G505" s="15">
        <f>ROUND(INDEX(卡牌图鉴!$AB$2:$AB$53,MATCH(monster!C505,卡牌图鉴!$C$2:$C$57,0)) * INDEX(数值规划表!$D$61:$D$71,monster!E505+1)*血量调整,2)</f>
        <v>16.71</v>
      </c>
      <c r="H505" s="15">
        <f>ROUND(INDEX(卡牌图鉴!$AA$2:$AA$53,MATCH(monster!C505,卡牌图鉴!$C$2:$C$53,0)) * INDEX(数值规划表!$C$61:$C$71,monster!E505+1),2)</f>
        <v>145.93</v>
      </c>
      <c r="I505" s="15">
        <f>ROUND(INDEX(卡牌图鉴!$AA$2:$AA$53,MATCH(monster!C505,卡牌图鉴!$C$2:$C$53,0)) * INDEX(数值规划表!$E$61:$E$71,monster!E505+1),2)</f>
        <v>4.38</v>
      </c>
      <c r="J505" s="15">
        <f>INDEX(卡牌图鉴!$J$2:$J$53,MATCH(monster!C505,卡牌图鉴!$C$2:$C$53,0))</f>
        <v>5</v>
      </c>
      <c r="K505" s="15">
        <f>INDEX(卡牌图鉴!$S$2:$S$53,MATCH(monster!C505,卡牌图鉴!$C$2:$C$53,0))</f>
        <v>4</v>
      </c>
      <c r="L505" s="15">
        <f>INDEX(卡牌图鉴!$H$2:$H$53,MATCH(monster!C505,卡牌图鉴!$C$2:$C$53,0))</f>
        <v>1.4</v>
      </c>
      <c r="M505" s="15">
        <f>INDEX(卡牌图鉴!$L$2:$L$53,MATCH(monster!C505,卡牌图鉴!$C$2:$C$53,0))</f>
        <v>3</v>
      </c>
      <c r="N505" s="15">
        <f>INDEX(卡牌图鉴!$AD$2:$AD$53,MATCH(monster!C505,卡牌图鉴!$C$2:$C$53,0))</f>
        <v>8</v>
      </c>
      <c r="O505" s="78">
        <f>INDEX(卡牌图鉴!$K$2:$K$53,MATCH(monster!C505,卡牌图鉴!$C$2:$C$53,0))</f>
        <v>3</v>
      </c>
    </row>
    <row r="506" spans="1:15" x14ac:dyDescent="0.15">
      <c r="A506" s="31">
        <v>1098</v>
      </c>
      <c r="B506" s="31" t="s">
        <v>230</v>
      </c>
      <c r="C506" s="31">
        <v>1089</v>
      </c>
      <c r="D506" s="15">
        <f>INDEX(卡牌图鉴!$S$2:$S$53,MATCH(monster!C506,卡牌图鉴!$C$2:$C$53,0))</f>
        <v>4</v>
      </c>
      <c r="E506" s="31">
        <v>9</v>
      </c>
      <c r="F506" s="15">
        <f>INT(INDEX(卡牌图鉴!$AB$2:$AB$53,MATCH(monster!C506,卡牌图鉴!$C$2:$C$57,0)) * INDEX(数值规划表!$B$61:$B$71,monster!E506+1) * 血量调整)</f>
        <v>623</v>
      </c>
      <c r="G506" s="15">
        <f>ROUND(INDEX(卡牌图鉴!$AB$2:$AB$53,MATCH(monster!C506,卡牌图鉴!$C$2:$C$57,0)) * INDEX(数值规划表!$D$61:$D$71,monster!E506+1)*血量调整,2)</f>
        <v>18.72</v>
      </c>
      <c r="H506" s="15">
        <f>ROUND(INDEX(卡牌图鉴!$AA$2:$AA$53,MATCH(monster!C506,卡牌图鉴!$C$2:$C$53,0)) * INDEX(数值规划表!$C$61:$C$71,monster!E506+1),2)</f>
        <v>163.44999999999999</v>
      </c>
      <c r="I506" s="15">
        <f>ROUND(INDEX(卡牌图鉴!$AA$2:$AA$53,MATCH(monster!C506,卡牌图鉴!$C$2:$C$53,0)) * INDEX(数值规划表!$E$61:$E$71,monster!E506+1),2)</f>
        <v>4.9000000000000004</v>
      </c>
      <c r="J506" s="15">
        <f>INDEX(卡牌图鉴!$J$2:$J$53,MATCH(monster!C506,卡牌图鉴!$C$2:$C$53,0))</f>
        <v>5</v>
      </c>
      <c r="K506" s="15">
        <f>INDEX(卡牌图鉴!$S$2:$S$53,MATCH(monster!C506,卡牌图鉴!$C$2:$C$53,0))</f>
        <v>4</v>
      </c>
      <c r="L506" s="15">
        <f>INDEX(卡牌图鉴!$H$2:$H$53,MATCH(monster!C506,卡牌图鉴!$C$2:$C$53,0))</f>
        <v>1.4</v>
      </c>
      <c r="M506" s="15">
        <f>INDEX(卡牌图鉴!$L$2:$L$53,MATCH(monster!C506,卡牌图鉴!$C$2:$C$53,0))</f>
        <v>3</v>
      </c>
      <c r="N506" s="15">
        <f>INDEX(卡牌图鉴!$AD$2:$AD$53,MATCH(monster!C506,卡牌图鉴!$C$2:$C$53,0))</f>
        <v>8</v>
      </c>
      <c r="O506" s="78">
        <f>INDEX(卡牌图鉴!$K$2:$K$53,MATCH(monster!C506,卡牌图鉴!$C$2:$C$53,0))</f>
        <v>3</v>
      </c>
    </row>
    <row r="507" spans="1:15" x14ac:dyDescent="0.15">
      <c r="A507" s="31">
        <v>1099</v>
      </c>
      <c r="B507" s="31" t="s">
        <v>231</v>
      </c>
      <c r="C507" s="31">
        <v>1089</v>
      </c>
      <c r="D507" s="15">
        <f>INDEX(卡牌图鉴!$S$2:$S$53,MATCH(monster!C507,卡牌图鉴!$C$2:$C$53,0))</f>
        <v>4</v>
      </c>
      <c r="E507" s="31">
        <v>10</v>
      </c>
      <c r="F507" s="15">
        <f>INT(INDEX(卡牌图鉴!$AB$2:$AB$53,MATCH(monster!C507,卡牌图鉴!$C$2:$C$57,0)) * INDEX(数值规划表!$B$61:$B$71,monster!E507+1) * 血量调整)</f>
        <v>698</v>
      </c>
      <c r="G507" s="15">
        <f>ROUND(INDEX(卡牌图鉴!$AB$2:$AB$53,MATCH(monster!C507,卡牌图鉴!$C$2:$C$57,0)) * INDEX(数值规划表!$D$61:$D$71,monster!E507+1)*血量调整,2)</f>
        <v>20.96</v>
      </c>
      <c r="H507" s="15">
        <f>ROUND(INDEX(卡牌图鉴!$AA$2:$AA$53,MATCH(monster!C507,卡牌图鉴!$C$2:$C$53,0)) * INDEX(数值规划表!$C$61:$C$71,monster!E507+1),2)</f>
        <v>183.06</v>
      </c>
      <c r="I507" s="15">
        <f>ROUND(INDEX(卡牌图鉴!$AA$2:$AA$53,MATCH(monster!C507,卡牌图鉴!$C$2:$C$53,0)) * INDEX(数值规划表!$E$61:$E$71,monster!E507+1),2)</f>
        <v>5.49</v>
      </c>
      <c r="J507" s="15">
        <f>INDEX(卡牌图鉴!$J$2:$J$53,MATCH(monster!C507,卡牌图鉴!$C$2:$C$53,0))</f>
        <v>5</v>
      </c>
      <c r="K507" s="15">
        <f>INDEX(卡牌图鉴!$S$2:$S$53,MATCH(monster!C507,卡牌图鉴!$C$2:$C$53,0))</f>
        <v>4</v>
      </c>
      <c r="L507" s="15">
        <f>INDEX(卡牌图鉴!$H$2:$H$53,MATCH(monster!C507,卡牌图鉴!$C$2:$C$53,0))</f>
        <v>1.4</v>
      </c>
      <c r="M507" s="15">
        <f>INDEX(卡牌图鉴!$L$2:$L$53,MATCH(monster!C507,卡牌图鉴!$C$2:$C$53,0))</f>
        <v>3</v>
      </c>
      <c r="N507" s="15">
        <f>INDEX(卡牌图鉴!$AD$2:$AD$53,MATCH(monster!C507,卡牌图鉴!$C$2:$C$53,0))</f>
        <v>8</v>
      </c>
      <c r="O507" s="78">
        <f>INDEX(卡牌图鉴!$K$2:$K$53,MATCH(monster!C507,卡牌图鉴!$C$2:$C$53,0))</f>
        <v>3</v>
      </c>
    </row>
    <row r="508" spans="1:15" x14ac:dyDescent="0.15">
      <c r="A508" s="31">
        <v>1272</v>
      </c>
      <c r="B508" s="31" t="s">
        <v>1479</v>
      </c>
      <c r="C508" s="31">
        <v>1272</v>
      </c>
      <c r="D508" s="15">
        <f>INDEX(卡牌图鉴!$S$2:$S$53,MATCH(monster!C508,卡牌图鉴!$C$2:$C$53,0))</f>
        <v>3</v>
      </c>
      <c r="E508" s="31">
        <v>0</v>
      </c>
      <c r="F508" s="15">
        <f>INT(INDEX(卡牌图鉴!$AB$2:$AB$53,MATCH(monster!C508,卡牌图鉴!$C$2:$C$57,0)) * INDEX(数值规划表!$B$61:$B$71,monster!E508+1) * 血量调整)</f>
        <v>615</v>
      </c>
      <c r="G508" s="15">
        <f>ROUND(INDEX(卡牌图鉴!$AB$2:$AB$53,MATCH(monster!C508,卡牌图鉴!$C$2:$C$57,0)) * INDEX(数值规划表!$D$61:$D$71,monster!E508+1)*血量调整,2)</f>
        <v>18.46</v>
      </c>
      <c r="H508" s="15">
        <f>ROUND(INDEX(卡牌图鉴!$AA$2:$AA$53,MATCH(monster!C508,卡牌图鉴!$C$2:$C$53,0)) * INDEX(数值规划表!$C$61:$C$71,monster!E508+1),2)</f>
        <v>47.73</v>
      </c>
      <c r="I508" s="15">
        <f>ROUND(INDEX(卡牌图鉴!$AA$2:$AA$53,MATCH(monster!C508,卡牌图鉴!$C$2:$C$53,0)) * INDEX(数值规划表!$E$61:$E$71,monster!E508+1),2)</f>
        <v>1.43</v>
      </c>
      <c r="J508" s="15">
        <f>INDEX(卡牌图鉴!$J$2:$J$53,MATCH(monster!C508,卡牌图鉴!$C$2:$C$53,0))</f>
        <v>1.2</v>
      </c>
      <c r="K508" s="15">
        <f>INDEX(卡牌图鉴!$S$2:$S$53,MATCH(monster!C508,卡牌图鉴!$C$2:$C$53,0))</f>
        <v>3</v>
      </c>
      <c r="L508" s="15">
        <f>INDEX(卡牌图鉴!$H$2:$H$53,MATCH(monster!C508,卡牌图鉴!$C$2:$C$53,0))</f>
        <v>1.4</v>
      </c>
      <c r="M508" s="15">
        <f>INDEX(卡牌图鉴!$L$2:$L$53,MATCH(monster!C508,卡牌图鉴!$C$2:$C$53,0))</f>
        <v>6</v>
      </c>
      <c r="N508" s="15">
        <f>INDEX(卡牌图鉴!$AD$2:$AD$53,MATCH(monster!C508,卡牌图鉴!$C$2:$C$53,0))</f>
        <v>8</v>
      </c>
      <c r="O508" s="78">
        <f>INDEX(卡牌图鉴!$K$2:$K$53,MATCH(monster!C508,卡牌图鉴!$C$2:$C$53,0))</f>
        <v>5</v>
      </c>
    </row>
    <row r="509" spans="1:15" x14ac:dyDescent="0.15">
      <c r="A509" s="31">
        <v>1273</v>
      </c>
      <c r="B509" s="31" t="s">
        <v>1367</v>
      </c>
      <c r="C509" s="31">
        <v>1272</v>
      </c>
      <c r="D509" s="15">
        <f>INDEX(卡牌图鉴!$S$2:$S$53,MATCH(monster!C509,卡牌图鉴!$C$2:$C$53,0))</f>
        <v>3</v>
      </c>
      <c r="E509" s="31">
        <v>1</v>
      </c>
      <c r="F509" s="15">
        <f>INT(INDEX(卡牌图鉴!$AB$2:$AB$53,MATCH(monster!C509,卡牌图鉴!$C$2:$C$57,0)) * INDEX(数值规划表!$B$61:$B$71,monster!E509+1) * 血量调整)</f>
        <v>689</v>
      </c>
      <c r="G509" s="15">
        <f>ROUND(INDEX(卡牌图鉴!$AB$2:$AB$53,MATCH(monster!C509,卡牌图鉴!$C$2:$C$57,0)) * INDEX(数值规划表!$D$61:$D$71,monster!E509+1)*血量调整,2)</f>
        <v>20.67</v>
      </c>
      <c r="H509" s="15">
        <f>ROUND(INDEX(卡牌图鉴!$AA$2:$AA$53,MATCH(monster!C509,卡牌图鉴!$C$2:$C$53,0)) * INDEX(数值规划表!$C$61:$C$71,monster!E509+1),2)</f>
        <v>53.46</v>
      </c>
      <c r="I509" s="15">
        <f>ROUND(INDEX(卡牌图鉴!$AA$2:$AA$53,MATCH(monster!C509,卡牌图鉴!$C$2:$C$53,0)) * INDEX(数值规划表!$E$61:$E$71,monster!E509+1),2)</f>
        <v>1.6</v>
      </c>
      <c r="J509" s="15">
        <f>INDEX(卡牌图鉴!$J$2:$J$53,MATCH(monster!C509,卡牌图鉴!$C$2:$C$53,0))</f>
        <v>1.2</v>
      </c>
      <c r="K509" s="15">
        <f>INDEX(卡牌图鉴!$S$2:$S$53,MATCH(monster!C509,卡牌图鉴!$C$2:$C$53,0))</f>
        <v>3</v>
      </c>
      <c r="L509" s="15">
        <f>INDEX(卡牌图鉴!$H$2:$H$53,MATCH(monster!C509,卡牌图鉴!$C$2:$C$53,0))</f>
        <v>1.4</v>
      </c>
      <c r="M509" s="15">
        <f>INDEX(卡牌图鉴!$L$2:$L$53,MATCH(monster!C509,卡牌图鉴!$C$2:$C$53,0))</f>
        <v>6</v>
      </c>
      <c r="N509" s="15">
        <f>INDEX(卡牌图鉴!$AD$2:$AD$53,MATCH(monster!C509,卡牌图鉴!$C$2:$C$53,0))</f>
        <v>8</v>
      </c>
      <c r="O509" s="78">
        <f>INDEX(卡牌图鉴!$K$2:$K$53,MATCH(monster!C509,卡牌图鉴!$C$2:$C$53,0))</f>
        <v>5</v>
      </c>
    </row>
    <row r="510" spans="1:15" x14ac:dyDescent="0.15">
      <c r="A510" s="31">
        <v>1274</v>
      </c>
      <c r="B510" s="31" t="s">
        <v>359</v>
      </c>
      <c r="C510" s="31">
        <v>1272</v>
      </c>
      <c r="D510" s="15">
        <f>INDEX(卡牌图鉴!$S$2:$S$53,MATCH(monster!C510,卡牌图鉴!$C$2:$C$53,0))</f>
        <v>3</v>
      </c>
      <c r="E510" s="31">
        <v>2</v>
      </c>
      <c r="F510" s="15">
        <f>INT(INDEX(卡牌图鉴!$AB$2:$AB$53,MATCH(monster!C510,卡牌图鉴!$C$2:$C$57,0)) * INDEX(数值规划表!$B$61:$B$71,monster!E510+1) * 血量调整)</f>
        <v>771</v>
      </c>
      <c r="G510" s="15">
        <f>ROUND(INDEX(卡牌图鉴!$AB$2:$AB$53,MATCH(monster!C510,卡牌图鉴!$C$2:$C$57,0)) * INDEX(数值规划表!$D$61:$D$71,monster!E510+1)*血量调整,2)</f>
        <v>23.16</v>
      </c>
      <c r="H510" s="15">
        <f>ROUND(INDEX(卡牌图鉴!$AA$2:$AA$53,MATCH(monster!C510,卡牌图鉴!$C$2:$C$53,0)) * INDEX(数值规划表!$C$61:$C$71,monster!E510+1),2)</f>
        <v>59.87</v>
      </c>
      <c r="I510" s="15">
        <f>ROUND(INDEX(卡牌图鉴!$AA$2:$AA$53,MATCH(monster!C510,卡牌图鉴!$C$2:$C$53,0)) * INDEX(数值规划表!$E$61:$E$71,monster!E510+1),2)</f>
        <v>1.8</v>
      </c>
      <c r="J510" s="15">
        <f>INDEX(卡牌图鉴!$J$2:$J$53,MATCH(monster!C510,卡牌图鉴!$C$2:$C$53,0))</f>
        <v>1.2</v>
      </c>
      <c r="K510" s="15">
        <f>INDEX(卡牌图鉴!$S$2:$S$53,MATCH(monster!C510,卡牌图鉴!$C$2:$C$53,0))</f>
        <v>3</v>
      </c>
      <c r="L510" s="15">
        <f>INDEX(卡牌图鉴!$H$2:$H$53,MATCH(monster!C510,卡牌图鉴!$C$2:$C$53,0))</f>
        <v>1.4</v>
      </c>
      <c r="M510" s="15">
        <f>INDEX(卡牌图鉴!$L$2:$L$53,MATCH(monster!C510,卡牌图鉴!$C$2:$C$53,0))</f>
        <v>6</v>
      </c>
      <c r="N510" s="15">
        <f>INDEX(卡牌图鉴!$AD$2:$AD$53,MATCH(monster!C510,卡牌图鉴!$C$2:$C$53,0))</f>
        <v>8</v>
      </c>
      <c r="O510" s="78">
        <f>INDEX(卡牌图鉴!$K$2:$K$53,MATCH(monster!C510,卡牌图鉴!$C$2:$C$53,0))</f>
        <v>5</v>
      </c>
    </row>
    <row r="511" spans="1:15" x14ac:dyDescent="0.15">
      <c r="A511" s="31">
        <v>1275</v>
      </c>
      <c r="B511" s="31" t="s">
        <v>360</v>
      </c>
      <c r="C511" s="31">
        <v>1272</v>
      </c>
      <c r="D511" s="15">
        <f>INDEX(卡牌图鉴!$S$2:$S$53,MATCH(monster!C511,卡牌图鉴!$C$2:$C$53,0))</f>
        <v>3</v>
      </c>
      <c r="E511" s="31">
        <v>3</v>
      </c>
      <c r="F511" s="15">
        <f>INT(INDEX(卡牌图鉴!$AB$2:$AB$53,MATCH(monster!C511,卡牌图鉴!$C$2:$C$57,0)) * INDEX(数值规划表!$B$61:$B$71,monster!E511+1) * 血量调整)</f>
        <v>864</v>
      </c>
      <c r="G511" s="15">
        <f>ROUND(INDEX(卡牌图鉴!$AB$2:$AB$53,MATCH(monster!C511,卡牌图鉴!$C$2:$C$57,0)) * INDEX(数值规划表!$D$61:$D$71,monster!E511+1)*血量调整,2)</f>
        <v>25.93</v>
      </c>
      <c r="H511" s="15">
        <f>ROUND(INDEX(卡牌图鉴!$AA$2:$AA$53,MATCH(monster!C511,卡牌图鉴!$C$2:$C$53,0)) * INDEX(数值规划表!$C$61:$C$71,monster!E511+1),2)</f>
        <v>67.06</v>
      </c>
      <c r="I511" s="15">
        <f>ROUND(INDEX(卡牌图鉴!$AA$2:$AA$53,MATCH(monster!C511,卡牌图鉴!$C$2:$C$53,0)) * INDEX(数值规划表!$E$61:$E$71,monster!E511+1),2)</f>
        <v>2.0099999999999998</v>
      </c>
      <c r="J511" s="15">
        <f>INDEX(卡牌图鉴!$J$2:$J$53,MATCH(monster!C511,卡牌图鉴!$C$2:$C$53,0))</f>
        <v>1.2</v>
      </c>
      <c r="K511" s="15">
        <f>INDEX(卡牌图鉴!$S$2:$S$53,MATCH(monster!C511,卡牌图鉴!$C$2:$C$53,0))</f>
        <v>3</v>
      </c>
      <c r="L511" s="15">
        <f>INDEX(卡牌图鉴!$H$2:$H$53,MATCH(monster!C511,卡牌图鉴!$C$2:$C$53,0))</f>
        <v>1.4</v>
      </c>
      <c r="M511" s="15">
        <f>INDEX(卡牌图鉴!$L$2:$L$53,MATCH(monster!C511,卡牌图鉴!$C$2:$C$53,0))</f>
        <v>6</v>
      </c>
      <c r="N511" s="15">
        <f>INDEX(卡牌图鉴!$AD$2:$AD$53,MATCH(monster!C511,卡牌图鉴!$C$2:$C$53,0))</f>
        <v>8</v>
      </c>
      <c r="O511" s="78">
        <f>INDEX(卡牌图鉴!$K$2:$K$53,MATCH(monster!C511,卡牌图鉴!$C$2:$C$53,0))</f>
        <v>5</v>
      </c>
    </row>
    <row r="512" spans="1:15" x14ac:dyDescent="0.15">
      <c r="A512" s="31">
        <v>1276</v>
      </c>
      <c r="B512" s="31" t="s">
        <v>361</v>
      </c>
      <c r="C512" s="31">
        <v>1272</v>
      </c>
      <c r="D512" s="15">
        <f>INDEX(卡牌图鉴!$S$2:$S$53,MATCH(monster!C512,卡牌图鉴!$C$2:$C$53,0))</f>
        <v>3</v>
      </c>
      <c r="E512" s="31">
        <v>4</v>
      </c>
      <c r="F512" s="15">
        <f>INT(INDEX(卡牌图鉴!$AB$2:$AB$53,MATCH(monster!C512,卡牌图鉴!$C$2:$C$57,0)) * INDEX(数值规划表!$B$61:$B$71,monster!E512+1) * 血量调整)</f>
        <v>968</v>
      </c>
      <c r="G512" s="15">
        <f>ROUND(INDEX(卡牌图鉴!$AB$2:$AB$53,MATCH(monster!C512,卡牌图鉴!$C$2:$C$57,0)) * INDEX(数值规划表!$D$61:$D$71,monster!E512+1)*血量调整,2)</f>
        <v>29.05</v>
      </c>
      <c r="H512" s="15">
        <f>ROUND(INDEX(卡牌图鉴!$AA$2:$AA$53,MATCH(monster!C512,卡牌图鉴!$C$2:$C$53,0)) * INDEX(数值规划表!$C$61:$C$71,monster!E512+1),2)</f>
        <v>75.099999999999994</v>
      </c>
      <c r="I512" s="15">
        <f>ROUND(INDEX(卡牌图鉴!$AA$2:$AA$53,MATCH(monster!C512,卡牌图鉴!$C$2:$C$53,0)) * INDEX(数值规划表!$E$61:$E$71,monster!E512+1),2)</f>
        <v>2.25</v>
      </c>
      <c r="J512" s="15">
        <f>INDEX(卡牌图鉴!$J$2:$J$53,MATCH(monster!C512,卡牌图鉴!$C$2:$C$53,0))</f>
        <v>1.2</v>
      </c>
      <c r="K512" s="15">
        <f>INDEX(卡牌图鉴!$S$2:$S$53,MATCH(monster!C512,卡牌图鉴!$C$2:$C$53,0))</f>
        <v>3</v>
      </c>
      <c r="L512" s="15">
        <f>INDEX(卡牌图鉴!$H$2:$H$53,MATCH(monster!C512,卡牌图鉴!$C$2:$C$53,0))</f>
        <v>1.4</v>
      </c>
      <c r="M512" s="15">
        <f>INDEX(卡牌图鉴!$L$2:$L$53,MATCH(monster!C512,卡牌图鉴!$C$2:$C$53,0))</f>
        <v>6</v>
      </c>
      <c r="N512" s="15">
        <f>INDEX(卡牌图鉴!$AD$2:$AD$53,MATCH(monster!C512,卡牌图鉴!$C$2:$C$53,0))</f>
        <v>8</v>
      </c>
      <c r="O512" s="78">
        <f>INDEX(卡牌图鉴!$K$2:$K$53,MATCH(monster!C512,卡牌图鉴!$C$2:$C$53,0))</f>
        <v>5</v>
      </c>
    </row>
    <row r="513" spans="1:15" x14ac:dyDescent="0.15">
      <c r="A513" s="31">
        <v>1277</v>
      </c>
      <c r="B513" s="31" t="s">
        <v>362</v>
      </c>
      <c r="C513" s="31">
        <v>1272</v>
      </c>
      <c r="D513" s="15">
        <f>INDEX(卡牌图鉴!$S$2:$S$53,MATCH(monster!C513,卡牌图鉴!$C$2:$C$53,0))</f>
        <v>3</v>
      </c>
      <c r="E513" s="31">
        <v>5</v>
      </c>
      <c r="F513" s="15">
        <f>INT(INDEX(卡牌图鉴!$AB$2:$AB$53,MATCH(monster!C513,卡牌图鉴!$C$2:$C$57,0)) * INDEX(数值规划表!$B$61:$B$71,monster!E513+1) * 血量调整)</f>
        <v>1084</v>
      </c>
      <c r="G513" s="15">
        <f>ROUND(INDEX(卡牌图鉴!$AB$2:$AB$53,MATCH(monster!C513,卡牌图鉴!$C$2:$C$57,0)) * INDEX(数值规划表!$D$61:$D$71,monster!E513+1)*血量调整,2)</f>
        <v>32.53</v>
      </c>
      <c r="H513" s="15">
        <f>ROUND(INDEX(卡牌图鉴!$AA$2:$AA$53,MATCH(monster!C513,卡牌图鉴!$C$2:$C$53,0)) * INDEX(数值规划表!$C$61:$C$71,monster!E513+1),2)</f>
        <v>84.12</v>
      </c>
      <c r="I513" s="15">
        <f>ROUND(INDEX(卡牌图鉴!$AA$2:$AA$53,MATCH(monster!C513,卡牌图鉴!$C$2:$C$53,0)) * INDEX(数值规划表!$E$61:$E$71,monster!E513+1),2)</f>
        <v>2.52</v>
      </c>
      <c r="J513" s="15">
        <f>INDEX(卡牌图鉴!$J$2:$J$53,MATCH(monster!C513,卡牌图鉴!$C$2:$C$53,0))</f>
        <v>1.2</v>
      </c>
      <c r="K513" s="15">
        <f>INDEX(卡牌图鉴!$S$2:$S$53,MATCH(monster!C513,卡牌图鉴!$C$2:$C$53,0))</f>
        <v>3</v>
      </c>
      <c r="L513" s="15">
        <f>INDEX(卡牌图鉴!$H$2:$H$53,MATCH(monster!C513,卡牌图鉴!$C$2:$C$53,0))</f>
        <v>1.4</v>
      </c>
      <c r="M513" s="15">
        <f>INDEX(卡牌图鉴!$L$2:$L$53,MATCH(monster!C513,卡牌图鉴!$C$2:$C$53,0))</f>
        <v>6</v>
      </c>
      <c r="N513" s="15">
        <f>INDEX(卡牌图鉴!$AD$2:$AD$53,MATCH(monster!C513,卡牌图鉴!$C$2:$C$53,0))</f>
        <v>8</v>
      </c>
      <c r="O513" s="78">
        <f>INDEX(卡牌图鉴!$K$2:$K$53,MATCH(monster!C513,卡牌图鉴!$C$2:$C$53,0))</f>
        <v>5</v>
      </c>
    </row>
    <row r="514" spans="1:15" x14ac:dyDescent="0.15">
      <c r="A514" s="31">
        <v>1278</v>
      </c>
      <c r="B514" s="31" t="s">
        <v>363</v>
      </c>
      <c r="C514" s="31">
        <v>1272</v>
      </c>
      <c r="D514" s="15">
        <f>INDEX(卡牌图鉴!$S$2:$S$53,MATCH(monster!C514,卡牌图鉴!$C$2:$C$53,0))</f>
        <v>3</v>
      </c>
      <c r="E514" s="31">
        <v>6</v>
      </c>
      <c r="F514" s="15">
        <f>INT(INDEX(卡牌图鉴!$AB$2:$AB$53,MATCH(monster!C514,卡牌图鉴!$C$2:$C$57,0)) * INDEX(数值规划表!$B$61:$B$71,monster!E514+1) * 血量调整)</f>
        <v>1214</v>
      </c>
      <c r="G514" s="15">
        <f>ROUND(INDEX(卡牌图鉴!$AB$2:$AB$53,MATCH(monster!C514,卡牌图鉴!$C$2:$C$57,0)) * INDEX(数值规划表!$D$61:$D$71,monster!E514+1)*血量调整,2)</f>
        <v>36.44</v>
      </c>
      <c r="H514" s="15">
        <f>ROUND(INDEX(卡牌图鉴!$AA$2:$AA$53,MATCH(monster!C514,卡牌图鉴!$C$2:$C$53,0)) * INDEX(数值规划表!$C$61:$C$71,monster!E514+1),2)</f>
        <v>94.21</v>
      </c>
      <c r="I514" s="15">
        <f>ROUND(INDEX(卡牌图鉴!$AA$2:$AA$53,MATCH(monster!C514,卡牌图鉴!$C$2:$C$53,0)) * INDEX(数值规划表!$E$61:$E$71,monster!E514+1),2)</f>
        <v>2.83</v>
      </c>
      <c r="J514" s="15">
        <f>INDEX(卡牌图鉴!$J$2:$J$53,MATCH(monster!C514,卡牌图鉴!$C$2:$C$53,0))</f>
        <v>1.2</v>
      </c>
      <c r="K514" s="15">
        <f>INDEX(卡牌图鉴!$S$2:$S$53,MATCH(monster!C514,卡牌图鉴!$C$2:$C$53,0))</f>
        <v>3</v>
      </c>
      <c r="L514" s="15">
        <f>INDEX(卡牌图鉴!$H$2:$H$53,MATCH(monster!C514,卡牌图鉴!$C$2:$C$53,0))</f>
        <v>1.4</v>
      </c>
      <c r="M514" s="15">
        <f>INDEX(卡牌图鉴!$L$2:$L$53,MATCH(monster!C514,卡牌图鉴!$C$2:$C$53,0))</f>
        <v>6</v>
      </c>
      <c r="N514" s="15">
        <f>INDEX(卡牌图鉴!$AD$2:$AD$53,MATCH(monster!C514,卡牌图鉴!$C$2:$C$53,0))</f>
        <v>8</v>
      </c>
      <c r="O514" s="78">
        <f>INDEX(卡牌图鉴!$K$2:$K$53,MATCH(monster!C514,卡牌图鉴!$C$2:$C$53,0))</f>
        <v>5</v>
      </c>
    </row>
    <row r="515" spans="1:15" x14ac:dyDescent="0.15">
      <c r="A515" s="31">
        <v>1279</v>
      </c>
      <c r="B515" s="31" t="s">
        <v>364</v>
      </c>
      <c r="C515" s="31">
        <v>1272</v>
      </c>
      <c r="D515" s="15">
        <f>INDEX(卡牌图鉴!$S$2:$S$53,MATCH(monster!C515,卡牌图鉴!$C$2:$C$53,0))</f>
        <v>3</v>
      </c>
      <c r="E515" s="31">
        <v>7</v>
      </c>
      <c r="F515" s="15">
        <f>INT(INDEX(卡牌图鉴!$AB$2:$AB$53,MATCH(monster!C515,卡牌图鉴!$C$2:$C$57,0)) * INDEX(数值规划表!$B$61:$B$71,monster!E515+1) * 血量调整)</f>
        <v>1360</v>
      </c>
      <c r="G515" s="15">
        <f>ROUND(INDEX(卡牌图鉴!$AB$2:$AB$53,MATCH(monster!C515,卡牌图鉴!$C$2:$C$57,0)) * INDEX(数值规划表!$D$61:$D$71,monster!E515+1)*血量调整,2)</f>
        <v>40.81</v>
      </c>
      <c r="H515" s="15">
        <f>ROUND(INDEX(卡牌图鉴!$AA$2:$AA$53,MATCH(monster!C515,卡牌图鉴!$C$2:$C$53,0)) * INDEX(数值规划表!$C$61:$C$71,monster!E515+1),2)</f>
        <v>105.52</v>
      </c>
      <c r="I515" s="15">
        <f>ROUND(INDEX(卡牌图鉴!$AA$2:$AA$53,MATCH(monster!C515,卡牌图鉴!$C$2:$C$53,0)) * INDEX(数值规划表!$E$61:$E$71,monster!E515+1),2)</f>
        <v>3.17</v>
      </c>
      <c r="J515" s="15">
        <f>INDEX(卡牌图鉴!$J$2:$J$53,MATCH(monster!C515,卡牌图鉴!$C$2:$C$53,0))</f>
        <v>1.2</v>
      </c>
      <c r="K515" s="15">
        <f>INDEX(卡牌图鉴!$S$2:$S$53,MATCH(monster!C515,卡牌图鉴!$C$2:$C$53,0))</f>
        <v>3</v>
      </c>
      <c r="L515" s="15">
        <f>INDEX(卡牌图鉴!$H$2:$H$53,MATCH(monster!C515,卡牌图鉴!$C$2:$C$53,0))</f>
        <v>1.4</v>
      </c>
      <c r="M515" s="15">
        <f>INDEX(卡牌图鉴!$L$2:$L$53,MATCH(monster!C515,卡牌图鉴!$C$2:$C$53,0))</f>
        <v>6</v>
      </c>
      <c r="N515" s="15">
        <f>INDEX(卡牌图鉴!$AD$2:$AD$53,MATCH(monster!C515,卡牌图鉴!$C$2:$C$53,0))</f>
        <v>8</v>
      </c>
      <c r="O515" s="78">
        <f>INDEX(卡牌图鉴!$K$2:$K$53,MATCH(monster!C515,卡牌图鉴!$C$2:$C$53,0))</f>
        <v>5</v>
      </c>
    </row>
    <row r="516" spans="1:15" x14ac:dyDescent="0.15">
      <c r="A516" s="31">
        <v>1280</v>
      </c>
      <c r="B516" s="31" t="s">
        <v>365</v>
      </c>
      <c r="C516" s="31">
        <v>1272</v>
      </c>
      <c r="D516" s="15">
        <f>INDEX(卡牌图鉴!$S$2:$S$53,MATCH(monster!C516,卡牌图鉴!$C$2:$C$53,0))</f>
        <v>3</v>
      </c>
      <c r="E516" s="31">
        <v>8</v>
      </c>
      <c r="F516" s="15">
        <f>INT(INDEX(卡牌图鉴!$AB$2:$AB$53,MATCH(monster!C516,卡牌图鉴!$C$2:$C$57,0)) * INDEX(数值规划表!$B$61:$B$71,monster!E516+1) * 血量调整)</f>
        <v>1523</v>
      </c>
      <c r="G516" s="15">
        <f>ROUND(INDEX(卡牌图鉴!$AB$2:$AB$53,MATCH(monster!C516,卡牌图鉴!$C$2:$C$57,0)) * INDEX(数值规划表!$D$61:$D$71,monster!E516+1)*血量调整,2)</f>
        <v>45.71</v>
      </c>
      <c r="H516" s="15">
        <f>ROUND(INDEX(卡牌图鉴!$AA$2:$AA$53,MATCH(monster!C516,卡牌图鉴!$C$2:$C$53,0)) * INDEX(数值规划表!$C$61:$C$71,monster!E516+1),2)</f>
        <v>118.18</v>
      </c>
      <c r="I516" s="15">
        <f>ROUND(INDEX(卡牌图鉴!$AA$2:$AA$53,MATCH(monster!C516,卡牌图鉴!$C$2:$C$53,0)) * INDEX(数值规划表!$E$61:$E$71,monster!E516+1),2)</f>
        <v>3.55</v>
      </c>
      <c r="J516" s="15">
        <f>INDEX(卡牌图鉴!$J$2:$J$53,MATCH(monster!C516,卡牌图鉴!$C$2:$C$53,0))</f>
        <v>1.2</v>
      </c>
      <c r="K516" s="15">
        <f>INDEX(卡牌图鉴!$S$2:$S$53,MATCH(monster!C516,卡牌图鉴!$C$2:$C$53,0))</f>
        <v>3</v>
      </c>
      <c r="L516" s="15">
        <f>INDEX(卡牌图鉴!$H$2:$H$53,MATCH(monster!C516,卡牌图鉴!$C$2:$C$53,0))</f>
        <v>1.4</v>
      </c>
      <c r="M516" s="15">
        <f>INDEX(卡牌图鉴!$L$2:$L$53,MATCH(monster!C516,卡牌图鉴!$C$2:$C$53,0))</f>
        <v>6</v>
      </c>
      <c r="N516" s="15">
        <f>INDEX(卡牌图鉴!$AD$2:$AD$53,MATCH(monster!C516,卡牌图鉴!$C$2:$C$53,0))</f>
        <v>8</v>
      </c>
      <c r="O516" s="78">
        <f>INDEX(卡牌图鉴!$K$2:$K$53,MATCH(monster!C516,卡牌图鉴!$C$2:$C$53,0))</f>
        <v>5</v>
      </c>
    </row>
    <row r="517" spans="1:15" x14ac:dyDescent="0.15">
      <c r="A517" s="31">
        <v>1281</v>
      </c>
      <c r="B517" s="31" t="s">
        <v>366</v>
      </c>
      <c r="C517" s="31">
        <v>1272</v>
      </c>
      <c r="D517" s="15">
        <f>INDEX(卡牌图鉴!$S$2:$S$53,MATCH(monster!C517,卡牌图鉴!$C$2:$C$53,0))</f>
        <v>3</v>
      </c>
      <c r="E517" s="31">
        <v>9</v>
      </c>
      <c r="F517" s="15">
        <f>INT(INDEX(卡牌图鉴!$AB$2:$AB$53,MATCH(monster!C517,卡牌图鉴!$C$2:$C$57,0)) * INDEX(数值规划表!$B$61:$B$71,monster!E517+1) * 血量调整)</f>
        <v>1706</v>
      </c>
      <c r="G517" s="15">
        <f>ROUND(INDEX(卡牌图鉴!$AB$2:$AB$53,MATCH(monster!C517,卡牌图鉴!$C$2:$C$57,0)) * INDEX(数值规划表!$D$61:$D$71,monster!E517+1)*血量调整,2)</f>
        <v>51.19</v>
      </c>
      <c r="H517" s="15">
        <f>ROUND(INDEX(卡牌图鉴!$AA$2:$AA$53,MATCH(monster!C517,卡牌图鉴!$C$2:$C$53,0)) * INDEX(数值规划表!$C$61:$C$71,monster!E517+1),2)</f>
        <v>132.36000000000001</v>
      </c>
      <c r="I517" s="15">
        <f>ROUND(INDEX(卡牌图鉴!$AA$2:$AA$53,MATCH(monster!C517,卡牌图鉴!$C$2:$C$53,0)) * INDEX(数值规划表!$E$61:$E$71,monster!E517+1),2)</f>
        <v>3.97</v>
      </c>
      <c r="J517" s="15">
        <f>INDEX(卡牌图鉴!$J$2:$J$53,MATCH(monster!C517,卡牌图鉴!$C$2:$C$53,0))</f>
        <v>1.2</v>
      </c>
      <c r="K517" s="15">
        <f>INDEX(卡牌图鉴!$S$2:$S$53,MATCH(monster!C517,卡牌图鉴!$C$2:$C$53,0))</f>
        <v>3</v>
      </c>
      <c r="L517" s="15">
        <f>INDEX(卡牌图鉴!$H$2:$H$53,MATCH(monster!C517,卡牌图鉴!$C$2:$C$53,0))</f>
        <v>1.4</v>
      </c>
      <c r="M517" s="15">
        <f>INDEX(卡牌图鉴!$L$2:$L$53,MATCH(monster!C517,卡牌图鉴!$C$2:$C$53,0))</f>
        <v>6</v>
      </c>
      <c r="N517" s="15">
        <f>INDEX(卡牌图鉴!$AD$2:$AD$53,MATCH(monster!C517,卡牌图鉴!$C$2:$C$53,0))</f>
        <v>8</v>
      </c>
      <c r="O517" s="78">
        <f>INDEX(卡牌图鉴!$K$2:$K$53,MATCH(monster!C517,卡牌图鉴!$C$2:$C$53,0))</f>
        <v>5</v>
      </c>
    </row>
    <row r="518" spans="1:15" x14ac:dyDescent="0.15">
      <c r="A518" s="31">
        <v>1282</v>
      </c>
      <c r="B518" s="31" t="s">
        <v>367</v>
      </c>
      <c r="C518" s="31">
        <v>1272</v>
      </c>
      <c r="D518" s="15">
        <f>INDEX(卡牌图鉴!$S$2:$S$53,MATCH(monster!C518,卡牌图鉴!$C$2:$C$53,0))</f>
        <v>3</v>
      </c>
      <c r="E518" s="31">
        <v>10</v>
      </c>
      <c r="F518" s="15">
        <f>INT(INDEX(卡牌图鉴!$AB$2:$AB$53,MATCH(monster!C518,卡牌图鉴!$C$2:$C$57,0)) * INDEX(数值规划表!$B$61:$B$71,monster!E518+1) * 血量调整)</f>
        <v>1911</v>
      </c>
      <c r="G518" s="15">
        <f>ROUND(INDEX(卡牌图鉴!$AB$2:$AB$53,MATCH(monster!C518,卡牌图鉴!$C$2:$C$57,0)) * INDEX(数值规划表!$D$61:$D$71,monster!E518+1)*血量调整,2)</f>
        <v>57.33</v>
      </c>
      <c r="H518" s="15">
        <f>ROUND(INDEX(卡牌图鉴!$AA$2:$AA$53,MATCH(monster!C518,卡牌图鉴!$C$2:$C$53,0)) * INDEX(数值规划表!$C$61:$C$71,monster!E518+1),2)</f>
        <v>148.24</v>
      </c>
      <c r="I518" s="15">
        <f>ROUND(INDEX(卡牌图鉴!$AA$2:$AA$53,MATCH(monster!C518,卡牌图鉴!$C$2:$C$53,0)) * INDEX(数值规划表!$E$61:$E$71,monster!E518+1),2)</f>
        <v>4.45</v>
      </c>
      <c r="J518" s="15">
        <f>INDEX(卡牌图鉴!$J$2:$J$53,MATCH(monster!C518,卡牌图鉴!$C$2:$C$53,0))</f>
        <v>1.2</v>
      </c>
      <c r="K518" s="15">
        <f>INDEX(卡牌图鉴!$S$2:$S$53,MATCH(monster!C518,卡牌图鉴!$C$2:$C$53,0))</f>
        <v>3</v>
      </c>
      <c r="L518" s="15">
        <f>INDEX(卡牌图鉴!$H$2:$H$53,MATCH(monster!C518,卡牌图鉴!$C$2:$C$53,0))</f>
        <v>1.4</v>
      </c>
      <c r="M518" s="15">
        <f>INDEX(卡牌图鉴!$L$2:$L$53,MATCH(monster!C518,卡牌图鉴!$C$2:$C$53,0))</f>
        <v>6</v>
      </c>
      <c r="N518" s="15">
        <f>INDEX(卡牌图鉴!$AD$2:$AD$53,MATCH(monster!C518,卡牌图鉴!$C$2:$C$53,0))</f>
        <v>8</v>
      </c>
      <c r="O518" s="78">
        <f>INDEX(卡牌图鉴!$K$2:$K$53,MATCH(monster!C518,卡牌图鉴!$C$2:$C$53,0))</f>
        <v>5</v>
      </c>
    </row>
    <row r="519" spans="1:15" x14ac:dyDescent="0.15">
      <c r="A519" s="31">
        <v>1250</v>
      </c>
      <c r="B519" s="31" t="s">
        <v>1480</v>
      </c>
      <c r="C519" s="31">
        <v>1250</v>
      </c>
      <c r="D519" s="15">
        <f>INDEX(卡牌图鉴!$S$2:$S$53,MATCH(monster!C519,卡牌图鉴!$C$2:$C$53,0))</f>
        <v>3</v>
      </c>
      <c r="E519" s="31">
        <v>0</v>
      </c>
      <c r="F519" s="15">
        <f>INT(INDEX(卡牌图鉴!$AB$2:$AB$53,MATCH(monster!C519,卡牌图鉴!$C$2:$C$57,0)) * INDEX(数值规划表!$B$61:$B$71,monster!E519+1) * 血量调整)</f>
        <v>84</v>
      </c>
      <c r="G519" s="15">
        <f>ROUND(INDEX(卡牌图鉴!$AB$2:$AB$53,MATCH(monster!C519,卡牌图鉴!$C$2:$C$57,0)) * INDEX(数值规划表!$D$61:$D$71,monster!E519+1)*血量调整,2)</f>
        <v>2.54</v>
      </c>
      <c r="H519" s="15">
        <f>ROUND(INDEX(卡牌图鉴!$AA$2:$AA$53,MATCH(monster!C519,卡牌图鉴!$C$2:$C$53,0)) * INDEX(数值规划表!$C$61:$C$71,monster!E519+1),2)</f>
        <v>37.21</v>
      </c>
      <c r="I519" s="15">
        <f>ROUND(INDEX(卡牌图鉴!$AA$2:$AA$53,MATCH(monster!C519,卡牌图鉴!$C$2:$C$53,0)) * INDEX(数值规划表!$E$61:$E$71,monster!E519+1),2)</f>
        <v>1.1200000000000001</v>
      </c>
      <c r="J519" s="15">
        <f>INDEX(卡牌图鉴!$J$2:$J$53,MATCH(monster!C519,卡牌图鉴!$C$2:$C$53,0))</f>
        <v>4.5</v>
      </c>
      <c r="K519" s="15">
        <f>INDEX(卡牌图鉴!$S$2:$S$53,MATCH(monster!C519,卡牌图鉴!$C$2:$C$53,0))</f>
        <v>3</v>
      </c>
      <c r="L519" s="15">
        <f>INDEX(卡牌图鉴!$H$2:$H$53,MATCH(monster!C519,卡牌图鉴!$C$2:$C$53,0))</f>
        <v>2</v>
      </c>
      <c r="M519" s="15">
        <f>INDEX(卡牌图鉴!$L$2:$L$53,MATCH(monster!C519,卡牌图鉴!$C$2:$C$53,0))</f>
        <v>3</v>
      </c>
      <c r="N519" s="15">
        <f>INDEX(卡牌图鉴!$AD$2:$AD$53,MATCH(monster!C519,卡牌图鉴!$C$2:$C$53,0))</f>
        <v>8</v>
      </c>
      <c r="O519" s="78">
        <f>INDEX(卡牌图鉴!$K$2:$K$53,MATCH(monster!C519,卡牌图鉴!$C$2:$C$53,0))</f>
        <v>3</v>
      </c>
    </row>
    <row r="520" spans="1:15" x14ac:dyDescent="0.15">
      <c r="A520" s="31">
        <v>1251</v>
      </c>
      <c r="B520" s="31" t="s">
        <v>1368</v>
      </c>
      <c r="C520" s="31">
        <v>1250</v>
      </c>
      <c r="D520" s="15">
        <f>INDEX(卡牌图鉴!$S$2:$S$53,MATCH(monster!C520,卡牌图鉴!$C$2:$C$53,0))</f>
        <v>3</v>
      </c>
      <c r="E520" s="31">
        <v>1</v>
      </c>
      <c r="F520" s="15">
        <f>INT(INDEX(卡牌图鉴!$AB$2:$AB$53,MATCH(monster!C520,卡牌图鉴!$C$2:$C$57,0)) * INDEX(数值规划表!$B$61:$B$71,monster!E520+1) * 血量调整)</f>
        <v>95</v>
      </c>
      <c r="G520" s="15">
        <f>ROUND(INDEX(卡牌图鉴!$AB$2:$AB$53,MATCH(monster!C520,卡牌图鉴!$C$2:$C$57,0)) * INDEX(数值规划表!$D$61:$D$71,monster!E520+1)*血量调整,2)</f>
        <v>2.85</v>
      </c>
      <c r="H520" s="15">
        <f>ROUND(INDEX(卡牌图鉴!$AA$2:$AA$53,MATCH(monster!C520,卡牌图鉴!$C$2:$C$53,0)) * INDEX(数值规划表!$C$61:$C$71,monster!E520+1),2)</f>
        <v>41.68</v>
      </c>
      <c r="I520" s="15">
        <f>ROUND(INDEX(卡牌图鉴!$AA$2:$AA$53,MATCH(monster!C520,卡牌图鉴!$C$2:$C$53,0)) * INDEX(数值规划表!$E$61:$E$71,monster!E520+1),2)</f>
        <v>1.25</v>
      </c>
      <c r="J520" s="15">
        <f>INDEX(卡牌图鉴!$J$2:$J$53,MATCH(monster!C520,卡牌图鉴!$C$2:$C$53,0))</f>
        <v>4.5</v>
      </c>
      <c r="K520" s="15">
        <f>INDEX(卡牌图鉴!$S$2:$S$53,MATCH(monster!C520,卡牌图鉴!$C$2:$C$53,0))</f>
        <v>3</v>
      </c>
      <c r="L520" s="15">
        <f>INDEX(卡牌图鉴!$H$2:$H$53,MATCH(monster!C520,卡牌图鉴!$C$2:$C$53,0))</f>
        <v>2</v>
      </c>
      <c r="M520" s="15">
        <f>INDEX(卡牌图鉴!$L$2:$L$53,MATCH(monster!C520,卡牌图鉴!$C$2:$C$53,0))</f>
        <v>3</v>
      </c>
      <c r="N520" s="15">
        <f>INDEX(卡牌图鉴!$AD$2:$AD$53,MATCH(monster!C520,卡牌图鉴!$C$2:$C$53,0))</f>
        <v>8</v>
      </c>
      <c r="O520" s="78">
        <f>INDEX(卡牌图鉴!$K$2:$K$53,MATCH(monster!C520,卡牌图鉴!$C$2:$C$53,0))</f>
        <v>3</v>
      </c>
    </row>
    <row r="521" spans="1:15" x14ac:dyDescent="0.15">
      <c r="A521" s="31">
        <v>1252</v>
      </c>
      <c r="B521" s="31" t="s">
        <v>341</v>
      </c>
      <c r="C521" s="31">
        <v>1250</v>
      </c>
      <c r="D521" s="15">
        <f>INDEX(卡牌图鉴!$S$2:$S$53,MATCH(monster!C521,卡牌图鉴!$C$2:$C$53,0))</f>
        <v>3</v>
      </c>
      <c r="E521" s="31">
        <v>2</v>
      </c>
      <c r="F521" s="15">
        <f>INT(INDEX(卡牌图鉴!$AB$2:$AB$53,MATCH(monster!C521,卡牌图鉴!$C$2:$C$57,0)) * INDEX(数值规划表!$B$61:$B$71,monster!E521+1) * 血量调整)</f>
        <v>106</v>
      </c>
      <c r="G521" s="15">
        <f>ROUND(INDEX(卡牌图鉴!$AB$2:$AB$53,MATCH(monster!C521,卡牌图鉴!$C$2:$C$57,0)) * INDEX(数值规划表!$D$61:$D$71,monster!E521+1)*血量调整,2)</f>
        <v>3.19</v>
      </c>
      <c r="H521" s="15">
        <f>ROUND(INDEX(卡牌图鉴!$AA$2:$AA$53,MATCH(monster!C521,卡牌图鉴!$C$2:$C$53,0)) * INDEX(数值规划表!$C$61:$C$71,monster!E521+1),2)</f>
        <v>46.68</v>
      </c>
      <c r="I521" s="15">
        <f>ROUND(INDEX(卡牌图鉴!$AA$2:$AA$53,MATCH(monster!C521,卡牌图鉴!$C$2:$C$53,0)) * INDEX(数值规划表!$E$61:$E$71,monster!E521+1),2)</f>
        <v>1.4</v>
      </c>
      <c r="J521" s="15">
        <f>INDEX(卡牌图鉴!$J$2:$J$53,MATCH(monster!C521,卡牌图鉴!$C$2:$C$53,0))</f>
        <v>4.5</v>
      </c>
      <c r="K521" s="15">
        <f>INDEX(卡牌图鉴!$S$2:$S$53,MATCH(monster!C521,卡牌图鉴!$C$2:$C$53,0))</f>
        <v>3</v>
      </c>
      <c r="L521" s="15">
        <f>INDEX(卡牌图鉴!$H$2:$H$53,MATCH(monster!C521,卡牌图鉴!$C$2:$C$53,0))</f>
        <v>2</v>
      </c>
      <c r="M521" s="15">
        <f>INDEX(卡牌图鉴!$L$2:$L$53,MATCH(monster!C521,卡牌图鉴!$C$2:$C$53,0))</f>
        <v>3</v>
      </c>
      <c r="N521" s="15">
        <f>INDEX(卡牌图鉴!$AD$2:$AD$53,MATCH(monster!C521,卡牌图鉴!$C$2:$C$53,0))</f>
        <v>8</v>
      </c>
      <c r="O521" s="78">
        <f>INDEX(卡牌图鉴!$K$2:$K$53,MATCH(monster!C521,卡牌图鉴!$C$2:$C$53,0))</f>
        <v>3</v>
      </c>
    </row>
    <row r="522" spans="1:15" x14ac:dyDescent="0.15">
      <c r="A522" s="31">
        <v>1253</v>
      </c>
      <c r="B522" s="31" t="s">
        <v>342</v>
      </c>
      <c r="C522" s="31">
        <v>1250</v>
      </c>
      <c r="D522" s="15">
        <f>INDEX(卡牌图鉴!$S$2:$S$53,MATCH(monster!C522,卡牌图鉴!$C$2:$C$53,0))</f>
        <v>3</v>
      </c>
      <c r="E522" s="31">
        <v>3</v>
      </c>
      <c r="F522" s="15">
        <f>INT(INDEX(卡牌图鉴!$AB$2:$AB$53,MATCH(monster!C522,卡牌图鉴!$C$2:$C$57,0)) * INDEX(数值规划表!$B$61:$B$71,monster!E522+1) * 血量调整)</f>
        <v>119</v>
      </c>
      <c r="G522" s="15">
        <f>ROUND(INDEX(卡牌图鉴!$AB$2:$AB$53,MATCH(monster!C522,卡牌图鉴!$C$2:$C$57,0)) * INDEX(数值规划表!$D$61:$D$71,monster!E522+1)*血量调整,2)</f>
        <v>3.58</v>
      </c>
      <c r="H522" s="15">
        <f>ROUND(INDEX(卡牌图鉴!$AA$2:$AA$53,MATCH(monster!C522,卡牌图鉴!$C$2:$C$53,0)) * INDEX(数值规划表!$C$61:$C$71,monster!E522+1),2)</f>
        <v>52.28</v>
      </c>
      <c r="I522" s="15">
        <f>ROUND(INDEX(卡牌图鉴!$AA$2:$AA$53,MATCH(monster!C522,卡牌图鉴!$C$2:$C$53,0)) * INDEX(数值规划表!$E$61:$E$71,monster!E522+1),2)</f>
        <v>1.57</v>
      </c>
      <c r="J522" s="15">
        <f>INDEX(卡牌图鉴!$J$2:$J$53,MATCH(monster!C522,卡牌图鉴!$C$2:$C$53,0))</f>
        <v>4.5</v>
      </c>
      <c r="K522" s="15">
        <f>INDEX(卡牌图鉴!$S$2:$S$53,MATCH(monster!C522,卡牌图鉴!$C$2:$C$53,0))</f>
        <v>3</v>
      </c>
      <c r="L522" s="15">
        <f>INDEX(卡牌图鉴!$H$2:$H$53,MATCH(monster!C522,卡牌图鉴!$C$2:$C$53,0))</f>
        <v>2</v>
      </c>
      <c r="M522" s="15">
        <f>INDEX(卡牌图鉴!$L$2:$L$53,MATCH(monster!C522,卡牌图鉴!$C$2:$C$53,0))</f>
        <v>3</v>
      </c>
      <c r="N522" s="15">
        <f>INDEX(卡牌图鉴!$AD$2:$AD$53,MATCH(monster!C522,卡牌图鉴!$C$2:$C$53,0))</f>
        <v>8</v>
      </c>
      <c r="O522" s="78">
        <f>INDEX(卡牌图鉴!$K$2:$K$53,MATCH(monster!C522,卡牌图鉴!$C$2:$C$53,0))</f>
        <v>3</v>
      </c>
    </row>
    <row r="523" spans="1:15" x14ac:dyDescent="0.15">
      <c r="A523" s="31">
        <v>1254</v>
      </c>
      <c r="B523" s="31" t="s">
        <v>343</v>
      </c>
      <c r="C523" s="31">
        <v>1250</v>
      </c>
      <c r="D523" s="15">
        <f>INDEX(卡牌图鉴!$S$2:$S$53,MATCH(monster!C523,卡牌图鉴!$C$2:$C$53,0))</f>
        <v>3</v>
      </c>
      <c r="E523" s="31">
        <v>4</v>
      </c>
      <c r="F523" s="15">
        <f>INT(INDEX(卡牌图鉴!$AB$2:$AB$53,MATCH(monster!C523,卡牌图鉴!$C$2:$C$57,0)) * INDEX(数值规划表!$B$61:$B$71,monster!E523+1) * 血量调整)</f>
        <v>133</v>
      </c>
      <c r="G523" s="15">
        <f>ROUND(INDEX(卡牌图鉴!$AB$2:$AB$53,MATCH(monster!C523,卡牌图鉴!$C$2:$C$57,0)) * INDEX(数值规划表!$D$61:$D$71,monster!E523+1)*血量调整,2)</f>
        <v>4</v>
      </c>
      <c r="H523" s="15">
        <f>ROUND(INDEX(卡牌图鉴!$AA$2:$AA$53,MATCH(monster!C523,卡牌图鉴!$C$2:$C$53,0)) * INDEX(数值规划表!$C$61:$C$71,monster!E523+1),2)</f>
        <v>58.55</v>
      </c>
      <c r="I523" s="15">
        <f>ROUND(INDEX(卡牌图鉴!$AA$2:$AA$53,MATCH(monster!C523,卡牌图鉴!$C$2:$C$53,0)) * INDEX(数值规划表!$E$61:$E$71,monster!E523+1),2)</f>
        <v>1.76</v>
      </c>
      <c r="J523" s="15">
        <f>INDEX(卡牌图鉴!$J$2:$J$53,MATCH(monster!C523,卡牌图鉴!$C$2:$C$53,0))</f>
        <v>4.5</v>
      </c>
      <c r="K523" s="15">
        <f>INDEX(卡牌图鉴!$S$2:$S$53,MATCH(monster!C523,卡牌图鉴!$C$2:$C$53,0))</f>
        <v>3</v>
      </c>
      <c r="L523" s="15">
        <f>INDEX(卡牌图鉴!$H$2:$H$53,MATCH(monster!C523,卡牌图鉴!$C$2:$C$53,0))</f>
        <v>2</v>
      </c>
      <c r="M523" s="15">
        <f>INDEX(卡牌图鉴!$L$2:$L$53,MATCH(monster!C523,卡牌图鉴!$C$2:$C$53,0))</f>
        <v>3</v>
      </c>
      <c r="N523" s="15">
        <f>INDEX(卡牌图鉴!$AD$2:$AD$53,MATCH(monster!C523,卡牌图鉴!$C$2:$C$53,0))</f>
        <v>8</v>
      </c>
      <c r="O523" s="78">
        <f>INDEX(卡牌图鉴!$K$2:$K$53,MATCH(monster!C523,卡牌图鉴!$C$2:$C$53,0))</f>
        <v>3</v>
      </c>
    </row>
    <row r="524" spans="1:15" x14ac:dyDescent="0.15">
      <c r="A524" s="31">
        <v>1255</v>
      </c>
      <c r="B524" s="31" t="s">
        <v>344</v>
      </c>
      <c r="C524" s="31">
        <v>1250</v>
      </c>
      <c r="D524" s="15">
        <f>INDEX(卡牌图鉴!$S$2:$S$53,MATCH(monster!C524,卡牌图鉴!$C$2:$C$53,0))</f>
        <v>3</v>
      </c>
      <c r="E524" s="31">
        <v>5</v>
      </c>
      <c r="F524" s="15">
        <f>INT(INDEX(卡牌图鉴!$AB$2:$AB$53,MATCH(monster!C524,卡牌图鉴!$C$2:$C$57,0)) * INDEX(数值规划表!$B$61:$B$71,monster!E524+1) * 血量调整)</f>
        <v>149</v>
      </c>
      <c r="G524" s="15">
        <f>ROUND(INDEX(卡牌图鉴!$AB$2:$AB$53,MATCH(monster!C524,卡牌图鉴!$C$2:$C$57,0)) * INDEX(数值规划表!$D$61:$D$71,monster!E524+1)*血量调整,2)</f>
        <v>4.4800000000000004</v>
      </c>
      <c r="H524" s="15">
        <f>ROUND(INDEX(卡牌图鉴!$AA$2:$AA$53,MATCH(monster!C524,卡牌图鉴!$C$2:$C$53,0)) * INDEX(数值规划表!$C$61:$C$71,monster!E524+1),2)</f>
        <v>65.58</v>
      </c>
      <c r="I524" s="15">
        <f>ROUND(INDEX(卡牌图鉴!$AA$2:$AA$53,MATCH(monster!C524,卡牌图鉴!$C$2:$C$53,0)) * INDEX(数值规划表!$E$61:$E$71,monster!E524+1),2)</f>
        <v>1.97</v>
      </c>
      <c r="J524" s="15">
        <f>INDEX(卡牌图鉴!$J$2:$J$53,MATCH(monster!C524,卡牌图鉴!$C$2:$C$53,0))</f>
        <v>4.5</v>
      </c>
      <c r="K524" s="15">
        <f>INDEX(卡牌图鉴!$S$2:$S$53,MATCH(monster!C524,卡牌图鉴!$C$2:$C$53,0))</f>
        <v>3</v>
      </c>
      <c r="L524" s="15">
        <f>INDEX(卡牌图鉴!$H$2:$H$53,MATCH(monster!C524,卡牌图鉴!$C$2:$C$53,0))</f>
        <v>2</v>
      </c>
      <c r="M524" s="15">
        <f>INDEX(卡牌图鉴!$L$2:$L$53,MATCH(monster!C524,卡牌图鉴!$C$2:$C$53,0))</f>
        <v>3</v>
      </c>
      <c r="N524" s="15">
        <f>INDEX(卡牌图鉴!$AD$2:$AD$53,MATCH(monster!C524,卡牌图鉴!$C$2:$C$53,0))</f>
        <v>8</v>
      </c>
      <c r="O524" s="78">
        <f>INDEX(卡牌图鉴!$K$2:$K$53,MATCH(monster!C524,卡牌图鉴!$C$2:$C$53,0))</f>
        <v>3</v>
      </c>
    </row>
    <row r="525" spans="1:15" x14ac:dyDescent="0.15">
      <c r="A525" s="31">
        <v>1256</v>
      </c>
      <c r="B525" s="31" t="s">
        <v>345</v>
      </c>
      <c r="C525" s="31">
        <v>1250</v>
      </c>
      <c r="D525" s="15">
        <f>INDEX(卡牌图鉴!$S$2:$S$53,MATCH(monster!C525,卡牌图鉴!$C$2:$C$53,0))</f>
        <v>3</v>
      </c>
      <c r="E525" s="31">
        <v>6</v>
      </c>
      <c r="F525" s="15">
        <f>INT(INDEX(卡牌图鉴!$AB$2:$AB$53,MATCH(monster!C525,卡牌图鉴!$C$2:$C$57,0)) * INDEX(数值规划表!$B$61:$B$71,monster!E525+1) * 血量调整)</f>
        <v>167</v>
      </c>
      <c r="G525" s="15">
        <f>ROUND(INDEX(卡牌图鉴!$AB$2:$AB$53,MATCH(monster!C525,卡牌图鉴!$C$2:$C$57,0)) * INDEX(数值规划表!$D$61:$D$71,monster!E525+1)*血量调整,2)</f>
        <v>5.0199999999999996</v>
      </c>
      <c r="H525" s="15">
        <f>ROUND(INDEX(卡牌图鉴!$AA$2:$AA$53,MATCH(monster!C525,卡牌图鉴!$C$2:$C$53,0)) * INDEX(数值规划表!$C$61:$C$71,monster!E525+1),2)</f>
        <v>73.45</v>
      </c>
      <c r="I525" s="15">
        <f>ROUND(INDEX(卡牌图鉴!$AA$2:$AA$53,MATCH(monster!C525,卡牌图鉴!$C$2:$C$53,0)) * INDEX(数值规划表!$E$61:$E$71,monster!E525+1),2)</f>
        <v>2.2000000000000002</v>
      </c>
      <c r="J525" s="15">
        <f>INDEX(卡牌图鉴!$J$2:$J$53,MATCH(monster!C525,卡牌图鉴!$C$2:$C$53,0))</f>
        <v>4.5</v>
      </c>
      <c r="K525" s="15">
        <f>INDEX(卡牌图鉴!$S$2:$S$53,MATCH(monster!C525,卡牌图鉴!$C$2:$C$53,0))</f>
        <v>3</v>
      </c>
      <c r="L525" s="15">
        <f>INDEX(卡牌图鉴!$H$2:$H$53,MATCH(monster!C525,卡牌图鉴!$C$2:$C$53,0))</f>
        <v>2</v>
      </c>
      <c r="M525" s="15">
        <f>INDEX(卡牌图鉴!$L$2:$L$53,MATCH(monster!C525,卡牌图鉴!$C$2:$C$53,0))</f>
        <v>3</v>
      </c>
      <c r="N525" s="15">
        <f>INDEX(卡牌图鉴!$AD$2:$AD$53,MATCH(monster!C525,卡牌图鉴!$C$2:$C$53,0))</f>
        <v>8</v>
      </c>
      <c r="O525" s="78">
        <f>INDEX(卡牌图鉴!$K$2:$K$53,MATCH(monster!C525,卡牌图鉴!$C$2:$C$53,0))</f>
        <v>3</v>
      </c>
    </row>
    <row r="526" spans="1:15" x14ac:dyDescent="0.15">
      <c r="A526" s="31">
        <v>1257</v>
      </c>
      <c r="B526" s="31" t="s">
        <v>346</v>
      </c>
      <c r="C526" s="31">
        <v>1250</v>
      </c>
      <c r="D526" s="15">
        <f>INDEX(卡牌图鉴!$S$2:$S$53,MATCH(monster!C526,卡牌图鉴!$C$2:$C$53,0))</f>
        <v>3</v>
      </c>
      <c r="E526" s="31">
        <v>7</v>
      </c>
      <c r="F526" s="15">
        <f>INT(INDEX(卡牌图鉴!$AB$2:$AB$53,MATCH(monster!C526,卡牌图鉴!$C$2:$C$57,0)) * INDEX(数值规划表!$B$61:$B$71,monster!E526+1) * 血量调整)</f>
        <v>187</v>
      </c>
      <c r="G526" s="15">
        <f>ROUND(INDEX(卡牌图鉴!$AB$2:$AB$53,MATCH(monster!C526,卡牌图鉴!$C$2:$C$57,0)) * INDEX(数值规划表!$D$61:$D$71,monster!E526+1)*血量调整,2)</f>
        <v>5.63</v>
      </c>
      <c r="H526" s="15">
        <f>ROUND(INDEX(卡牌图鉴!$AA$2:$AA$53,MATCH(monster!C526,卡牌图鉴!$C$2:$C$53,0)) * INDEX(数值规划表!$C$61:$C$71,monster!E526+1),2)</f>
        <v>82.26</v>
      </c>
      <c r="I526" s="15">
        <f>ROUND(INDEX(卡牌图鉴!$AA$2:$AA$53,MATCH(monster!C526,卡牌图鉴!$C$2:$C$53,0)) * INDEX(数值规划表!$E$61:$E$71,monster!E526+1),2)</f>
        <v>2.4700000000000002</v>
      </c>
      <c r="J526" s="15">
        <f>INDEX(卡牌图鉴!$J$2:$J$53,MATCH(monster!C526,卡牌图鉴!$C$2:$C$53,0))</f>
        <v>4.5</v>
      </c>
      <c r="K526" s="15">
        <f>INDEX(卡牌图鉴!$S$2:$S$53,MATCH(monster!C526,卡牌图鉴!$C$2:$C$53,0))</f>
        <v>3</v>
      </c>
      <c r="L526" s="15">
        <f>INDEX(卡牌图鉴!$H$2:$H$53,MATCH(monster!C526,卡牌图鉴!$C$2:$C$53,0))</f>
        <v>2</v>
      </c>
      <c r="M526" s="15">
        <f>INDEX(卡牌图鉴!$L$2:$L$53,MATCH(monster!C526,卡牌图鉴!$C$2:$C$53,0))</f>
        <v>3</v>
      </c>
      <c r="N526" s="15">
        <f>INDEX(卡牌图鉴!$AD$2:$AD$53,MATCH(monster!C526,卡牌图鉴!$C$2:$C$53,0))</f>
        <v>8</v>
      </c>
      <c r="O526" s="78">
        <f>INDEX(卡牌图鉴!$K$2:$K$53,MATCH(monster!C526,卡牌图鉴!$C$2:$C$53,0))</f>
        <v>3</v>
      </c>
    </row>
    <row r="527" spans="1:15" x14ac:dyDescent="0.15">
      <c r="A527" s="31">
        <v>1258</v>
      </c>
      <c r="B527" s="31" t="s">
        <v>347</v>
      </c>
      <c r="C527" s="31">
        <v>1250</v>
      </c>
      <c r="D527" s="15">
        <f>INDEX(卡牌图鉴!$S$2:$S$53,MATCH(monster!C527,卡牌图鉴!$C$2:$C$53,0))</f>
        <v>3</v>
      </c>
      <c r="E527" s="31">
        <v>8</v>
      </c>
      <c r="F527" s="15">
        <f>INT(INDEX(卡牌图鉴!$AB$2:$AB$53,MATCH(monster!C527,卡牌图鉴!$C$2:$C$57,0)) * INDEX(数值规划表!$B$61:$B$71,monster!E527+1) * 血量调整)</f>
        <v>210</v>
      </c>
      <c r="G527" s="15">
        <f>ROUND(INDEX(卡牌图鉴!$AB$2:$AB$53,MATCH(monster!C527,卡牌图鉴!$C$2:$C$57,0)) * INDEX(数值规划表!$D$61:$D$71,monster!E527+1)*血量调整,2)</f>
        <v>6.3</v>
      </c>
      <c r="H527" s="15">
        <f>ROUND(INDEX(卡牌图鉴!$AA$2:$AA$53,MATCH(monster!C527,卡牌图鉴!$C$2:$C$53,0)) * INDEX(数值规划表!$C$61:$C$71,monster!E527+1),2)</f>
        <v>92.13</v>
      </c>
      <c r="I527" s="15">
        <f>ROUND(INDEX(卡牌图鉴!$AA$2:$AA$53,MATCH(monster!C527,卡牌图鉴!$C$2:$C$53,0)) * INDEX(数值规划表!$E$61:$E$71,monster!E527+1),2)</f>
        <v>2.76</v>
      </c>
      <c r="J527" s="15">
        <f>INDEX(卡牌图鉴!$J$2:$J$53,MATCH(monster!C527,卡牌图鉴!$C$2:$C$53,0))</f>
        <v>4.5</v>
      </c>
      <c r="K527" s="15">
        <f>INDEX(卡牌图鉴!$S$2:$S$53,MATCH(monster!C527,卡牌图鉴!$C$2:$C$53,0))</f>
        <v>3</v>
      </c>
      <c r="L527" s="15">
        <f>INDEX(卡牌图鉴!$H$2:$H$53,MATCH(monster!C527,卡牌图鉴!$C$2:$C$53,0))</f>
        <v>2</v>
      </c>
      <c r="M527" s="15">
        <f>INDEX(卡牌图鉴!$L$2:$L$53,MATCH(monster!C527,卡牌图鉴!$C$2:$C$53,0))</f>
        <v>3</v>
      </c>
      <c r="N527" s="15">
        <f>INDEX(卡牌图鉴!$AD$2:$AD$53,MATCH(monster!C527,卡牌图鉴!$C$2:$C$53,0))</f>
        <v>8</v>
      </c>
      <c r="O527" s="78">
        <f>INDEX(卡牌图鉴!$K$2:$K$53,MATCH(monster!C527,卡牌图鉴!$C$2:$C$53,0))</f>
        <v>3</v>
      </c>
    </row>
    <row r="528" spans="1:15" x14ac:dyDescent="0.15">
      <c r="A528" s="31">
        <v>1259</v>
      </c>
      <c r="B528" s="31" t="s">
        <v>348</v>
      </c>
      <c r="C528" s="31">
        <v>1250</v>
      </c>
      <c r="D528" s="15">
        <f>INDEX(卡牌图鉴!$S$2:$S$53,MATCH(monster!C528,卡牌图鉴!$C$2:$C$53,0))</f>
        <v>3</v>
      </c>
      <c r="E528" s="31">
        <v>9</v>
      </c>
      <c r="F528" s="15">
        <f>INT(INDEX(卡牌图鉴!$AB$2:$AB$53,MATCH(monster!C528,卡牌图鉴!$C$2:$C$57,0)) * INDEX(数值规划表!$B$61:$B$71,monster!E528+1) * 血量调整)</f>
        <v>235</v>
      </c>
      <c r="G528" s="15">
        <f>ROUND(INDEX(卡牌图鉴!$AB$2:$AB$53,MATCH(monster!C528,卡牌图鉴!$C$2:$C$57,0)) * INDEX(数值规划表!$D$61:$D$71,monster!E528+1)*血量调整,2)</f>
        <v>7.06</v>
      </c>
      <c r="H528" s="15">
        <f>ROUND(INDEX(卡牌图鉴!$AA$2:$AA$53,MATCH(monster!C528,卡牌图鉴!$C$2:$C$53,0)) * INDEX(数值规划表!$C$61:$C$71,monster!E528+1),2)</f>
        <v>103.19</v>
      </c>
      <c r="I528" s="15">
        <f>ROUND(INDEX(卡牌图鉴!$AA$2:$AA$53,MATCH(monster!C528,卡牌图鉴!$C$2:$C$53,0)) * INDEX(数值规划表!$E$61:$E$71,monster!E528+1),2)</f>
        <v>3.1</v>
      </c>
      <c r="J528" s="15">
        <f>INDEX(卡牌图鉴!$J$2:$J$53,MATCH(monster!C528,卡牌图鉴!$C$2:$C$53,0))</f>
        <v>4.5</v>
      </c>
      <c r="K528" s="15">
        <f>INDEX(卡牌图鉴!$S$2:$S$53,MATCH(monster!C528,卡牌图鉴!$C$2:$C$53,0))</f>
        <v>3</v>
      </c>
      <c r="L528" s="15">
        <f>INDEX(卡牌图鉴!$H$2:$H$53,MATCH(monster!C528,卡牌图鉴!$C$2:$C$53,0))</f>
        <v>2</v>
      </c>
      <c r="M528" s="15">
        <f>INDEX(卡牌图鉴!$L$2:$L$53,MATCH(monster!C528,卡牌图鉴!$C$2:$C$53,0))</f>
        <v>3</v>
      </c>
      <c r="N528" s="15">
        <f>INDEX(卡牌图鉴!$AD$2:$AD$53,MATCH(monster!C528,卡牌图鉴!$C$2:$C$53,0))</f>
        <v>8</v>
      </c>
      <c r="O528" s="78">
        <f>INDEX(卡牌图鉴!$K$2:$K$53,MATCH(monster!C528,卡牌图鉴!$C$2:$C$53,0))</f>
        <v>3</v>
      </c>
    </row>
    <row r="529" spans="1:15" x14ac:dyDescent="0.15">
      <c r="A529" s="31">
        <v>1260</v>
      </c>
      <c r="B529" s="31" t="s">
        <v>349</v>
      </c>
      <c r="C529" s="31">
        <v>1250</v>
      </c>
      <c r="D529" s="15">
        <f>INDEX(卡牌图鉴!$S$2:$S$53,MATCH(monster!C529,卡牌图鉴!$C$2:$C$53,0))</f>
        <v>3</v>
      </c>
      <c r="E529" s="31">
        <v>10</v>
      </c>
      <c r="F529" s="15">
        <f>INT(INDEX(卡牌图鉴!$AB$2:$AB$53,MATCH(monster!C529,卡牌图鉴!$C$2:$C$57,0)) * INDEX(数值规划表!$B$61:$B$71,monster!E529+1) * 血量调整)</f>
        <v>263</v>
      </c>
      <c r="G529" s="15">
        <f>ROUND(INDEX(卡牌图鉴!$AB$2:$AB$53,MATCH(monster!C529,卡牌图鉴!$C$2:$C$57,0)) * INDEX(数值规划表!$D$61:$D$71,monster!E529+1)*血量调整,2)</f>
        <v>7.9</v>
      </c>
      <c r="H529" s="15">
        <f>ROUND(INDEX(卡牌图鉴!$AA$2:$AA$53,MATCH(monster!C529,卡牌图鉴!$C$2:$C$53,0)) * INDEX(数值规划表!$C$61:$C$71,monster!E529+1),2)</f>
        <v>115.57</v>
      </c>
      <c r="I529" s="15">
        <f>ROUND(INDEX(卡牌图鉴!$AA$2:$AA$53,MATCH(monster!C529,卡牌图鉴!$C$2:$C$53,0)) * INDEX(数值规划表!$E$61:$E$71,monster!E529+1),2)</f>
        <v>3.47</v>
      </c>
      <c r="J529" s="15">
        <f>INDEX(卡牌图鉴!$J$2:$J$53,MATCH(monster!C529,卡牌图鉴!$C$2:$C$53,0))</f>
        <v>4.5</v>
      </c>
      <c r="K529" s="15">
        <f>INDEX(卡牌图鉴!$S$2:$S$53,MATCH(monster!C529,卡牌图鉴!$C$2:$C$53,0))</f>
        <v>3</v>
      </c>
      <c r="L529" s="15">
        <f>INDEX(卡牌图鉴!$H$2:$H$53,MATCH(monster!C529,卡牌图鉴!$C$2:$C$53,0))</f>
        <v>2</v>
      </c>
      <c r="M529" s="15">
        <f>INDEX(卡牌图鉴!$L$2:$L$53,MATCH(monster!C529,卡牌图鉴!$C$2:$C$53,0))</f>
        <v>3</v>
      </c>
      <c r="N529" s="15">
        <f>INDEX(卡牌图鉴!$AD$2:$AD$53,MATCH(monster!C529,卡牌图鉴!$C$2:$C$53,0))</f>
        <v>8</v>
      </c>
      <c r="O529" s="78">
        <f>INDEX(卡牌图鉴!$K$2:$K$53,MATCH(monster!C529,卡牌图鉴!$C$2:$C$53,0))</f>
        <v>3</v>
      </c>
    </row>
    <row r="530" spans="1:15" x14ac:dyDescent="0.15">
      <c r="A530" s="31">
        <v>1495</v>
      </c>
      <c r="B530" s="31" t="s">
        <v>1481</v>
      </c>
      <c r="C530" s="31">
        <v>1495</v>
      </c>
      <c r="D530" s="15">
        <f>INDEX(卡牌图鉴!$S$2:$S$53,MATCH(monster!C530,卡牌图鉴!$C$2:$C$53,0))</f>
        <v>1</v>
      </c>
      <c r="E530" s="31">
        <v>0</v>
      </c>
      <c r="F530" s="15">
        <f>INT(INDEX(卡牌图鉴!$AB$2:$AB$53,MATCH(monster!C530,卡牌图鉴!$C$2:$C$57,0)) * INDEX(数值规划表!$B$61:$B$71,monster!E530+1) * 血量调整)</f>
        <v>631</v>
      </c>
      <c r="G530" s="15">
        <f>ROUND(INDEX(卡牌图鉴!$AB$2:$AB$53,MATCH(monster!C530,卡牌图鉴!$C$2:$C$57,0)) * INDEX(数值规划表!$D$61:$D$71,monster!E530+1)*血量调整,2)</f>
        <v>18.95</v>
      </c>
      <c r="H530" s="15">
        <f>ROUND(INDEX(卡牌图鉴!$AA$2:$AA$53,MATCH(monster!C530,卡牌图鉴!$C$2:$C$53,0)) * INDEX(数值规划表!$C$61:$C$71,monster!E530+1),2)</f>
        <v>65.39</v>
      </c>
      <c r="I530" s="15">
        <f>ROUND(INDEX(卡牌图鉴!$AA$2:$AA$53,MATCH(monster!C530,卡牌图鉴!$C$2:$C$53,0)) * INDEX(数值规划表!$E$61:$E$71,monster!E530+1),2)</f>
        <v>1.96</v>
      </c>
      <c r="J530" s="15">
        <f>INDEX(卡牌图鉴!$J$2:$J$53,MATCH(monster!C530,卡牌图鉴!$C$2:$C$53,0))</f>
        <v>0.75</v>
      </c>
      <c r="K530" s="15">
        <f>INDEX(卡牌图鉴!$S$2:$S$53,MATCH(monster!C530,卡牌图鉴!$C$2:$C$53,0))</f>
        <v>1</v>
      </c>
      <c r="L530" s="15">
        <f>INDEX(卡牌图鉴!$H$2:$H$53,MATCH(monster!C530,卡牌图鉴!$C$2:$C$53,0))</f>
        <v>1.1000000000000001</v>
      </c>
      <c r="M530" s="15">
        <f>INDEX(卡牌图鉴!$L$2:$L$53,MATCH(monster!C530,卡牌图鉴!$C$2:$C$53,0))</f>
        <v>4</v>
      </c>
      <c r="N530" s="15">
        <f>INDEX(卡牌图鉴!$AD$2:$AD$53,MATCH(monster!C530,卡牌图鉴!$C$2:$C$53,0))</f>
        <v>8</v>
      </c>
      <c r="O530" s="78">
        <f>INDEX(卡牌图鉴!$K$2:$K$53,MATCH(monster!C530,卡牌图鉴!$C$2:$C$53,0))</f>
        <v>4</v>
      </c>
    </row>
    <row r="531" spans="1:15" x14ac:dyDescent="0.15">
      <c r="A531" s="31">
        <v>1496</v>
      </c>
      <c r="B531" s="31" t="s">
        <v>1482</v>
      </c>
      <c r="C531" s="31">
        <v>1495</v>
      </c>
      <c r="D531" s="15">
        <f>INDEX(卡牌图鉴!$S$2:$S$53,MATCH(monster!C531,卡牌图鉴!$C$2:$C$53,0))</f>
        <v>1</v>
      </c>
      <c r="E531" s="31">
        <v>1</v>
      </c>
      <c r="F531" s="15">
        <f>INT(INDEX(卡牌图鉴!$AB$2:$AB$53,MATCH(monster!C531,卡牌图鉴!$C$2:$C$57,0)) * INDEX(数值规划表!$B$61:$B$71,monster!E531+1) * 血量调整)</f>
        <v>707</v>
      </c>
      <c r="G531" s="15">
        <f>ROUND(INDEX(卡牌图鉴!$AB$2:$AB$53,MATCH(monster!C531,卡牌图鉴!$C$2:$C$57,0)) * INDEX(数值规划表!$D$61:$D$71,monster!E531+1)*血量调整,2)</f>
        <v>21.22</v>
      </c>
      <c r="H531" s="15">
        <f>ROUND(INDEX(卡牌图鉴!$AA$2:$AA$53,MATCH(monster!C531,卡牌图鉴!$C$2:$C$53,0)) * INDEX(数值规划表!$C$61:$C$71,monster!E531+1),2)</f>
        <v>73.239999999999995</v>
      </c>
      <c r="I531" s="15">
        <f>ROUND(INDEX(卡牌图鉴!$AA$2:$AA$53,MATCH(monster!C531,卡牌图鉴!$C$2:$C$53,0)) * INDEX(数值规划表!$E$61:$E$71,monster!E531+1),2)</f>
        <v>2.2000000000000002</v>
      </c>
      <c r="J531" s="15">
        <f>INDEX(卡牌图鉴!$J$2:$J$53,MATCH(monster!C531,卡牌图鉴!$C$2:$C$53,0))</f>
        <v>0.75</v>
      </c>
      <c r="K531" s="15">
        <f>INDEX(卡牌图鉴!$S$2:$S$53,MATCH(monster!C531,卡牌图鉴!$C$2:$C$53,0))</f>
        <v>1</v>
      </c>
      <c r="L531" s="15">
        <f>INDEX(卡牌图鉴!$H$2:$H$53,MATCH(monster!C531,卡牌图鉴!$C$2:$C$53,0))</f>
        <v>1.1000000000000001</v>
      </c>
      <c r="M531" s="15">
        <f>INDEX(卡牌图鉴!$L$2:$L$53,MATCH(monster!C531,卡牌图鉴!$C$2:$C$53,0))</f>
        <v>4</v>
      </c>
      <c r="N531" s="15">
        <f>INDEX(卡牌图鉴!$AD$2:$AD$53,MATCH(monster!C531,卡牌图鉴!$C$2:$C$53,0))</f>
        <v>8</v>
      </c>
      <c r="O531" s="78">
        <f>INDEX(卡牌图鉴!$K$2:$K$53,MATCH(monster!C531,卡牌图鉴!$C$2:$C$53,0))</f>
        <v>4</v>
      </c>
    </row>
    <row r="532" spans="1:15" x14ac:dyDescent="0.15">
      <c r="A532" s="31">
        <v>1497</v>
      </c>
      <c r="B532" s="31" t="s">
        <v>533</v>
      </c>
      <c r="C532" s="31">
        <v>1495</v>
      </c>
      <c r="D532" s="15">
        <f>INDEX(卡牌图鉴!$S$2:$S$53,MATCH(monster!C532,卡牌图鉴!$C$2:$C$53,0))</f>
        <v>1</v>
      </c>
      <c r="E532" s="31">
        <v>2</v>
      </c>
      <c r="F532" s="15">
        <f>INT(INDEX(卡牌图鉴!$AB$2:$AB$53,MATCH(monster!C532,卡牌图鉴!$C$2:$C$57,0)) * INDEX(数值规划表!$B$61:$B$71,monster!E532+1) * 血量调整)</f>
        <v>792</v>
      </c>
      <c r="G532" s="15">
        <f>ROUND(INDEX(卡牌图鉴!$AB$2:$AB$53,MATCH(monster!C532,卡牌图鉴!$C$2:$C$57,0)) * INDEX(数值规划表!$D$61:$D$71,monster!E532+1)*血量调整,2)</f>
        <v>23.77</v>
      </c>
      <c r="H532" s="15">
        <f>ROUND(INDEX(卡牌图鉴!$AA$2:$AA$53,MATCH(monster!C532,卡牌图鉴!$C$2:$C$53,0)) * INDEX(数值规划表!$C$61:$C$71,monster!E532+1),2)</f>
        <v>82.03</v>
      </c>
      <c r="I532" s="15">
        <f>ROUND(INDEX(卡牌图鉴!$AA$2:$AA$53,MATCH(monster!C532,卡牌图鉴!$C$2:$C$53,0)) * INDEX(数值规划表!$E$61:$E$71,monster!E532+1),2)</f>
        <v>2.46</v>
      </c>
      <c r="J532" s="15">
        <f>INDEX(卡牌图鉴!$J$2:$J$53,MATCH(monster!C532,卡牌图鉴!$C$2:$C$53,0))</f>
        <v>0.75</v>
      </c>
      <c r="K532" s="15">
        <f>INDEX(卡牌图鉴!$S$2:$S$53,MATCH(monster!C532,卡牌图鉴!$C$2:$C$53,0))</f>
        <v>1</v>
      </c>
      <c r="L532" s="15">
        <f>INDEX(卡牌图鉴!$H$2:$H$53,MATCH(monster!C532,卡牌图鉴!$C$2:$C$53,0))</f>
        <v>1.1000000000000001</v>
      </c>
      <c r="M532" s="15">
        <f>INDEX(卡牌图鉴!$L$2:$L$53,MATCH(monster!C532,卡牌图鉴!$C$2:$C$53,0))</f>
        <v>4</v>
      </c>
      <c r="N532" s="15">
        <f>INDEX(卡牌图鉴!$AD$2:$AD$53,MATCH(monster!C532,卡牌图鉴!$C$2:$C$53,0))</f>
        <v>8</v>
      </c>
      <c r="O532" s="78">
        <f>INDEX(卡牌图鉴!$K$2:$K$53,MATCH(monster!C532,卡牌图鉴!$C$2:$C$53,0))</f>
        <v>4</v>
      </c>
    </row>
    <row r="533" spans="1:15" x14ac:dyDescent="0.15">
      <c r="A533" s="31">
        <v>1498</v>
      </c>
      <c r="B533" s="31" t="s">
        <v>534</v>
      </c>
      <c r="C533" s="31">
        <v>1495</v>
      </c>
      <c r="D533" s="15">
        <f>INDEX(卡牌图鉴!$S$2:$S$53,MATCH(monster!C533,卡牌图鉴!$C$2:$C$53,0))</f>
        <v>1</v>
      </c>
      <c r="E533" s="31">
        <v>3</v>
      </c>
      <c r="F533" s="15">
        <f>INT(INDEX(卡牌图鉴!$AB$2:$AB$53,MATCH(monster!C533,卡牌图鉴!$C$2:$C$57,0)) * INDEX(数值规划表!$B$61:$B$71,monster!E533+1) * 血量调整)</f>
        <v>887</v>
      </c>
      <c r="G533" s="15">
        <f>ROUND(INDEX(卡牌图鉴!$AB$2:$AB$53,MATCH(monster!C533,卡牌图鉴!$C$2:$C$57,0)) * INDEX(数值规划表!$D$61:$D$71,monster!E533+1)*血量调整,2)</f>
        <v>26.62</v>
      </c>
      <c r="H533" s="15">
        <f>ROUND(INDEX(卡牌图鉴!$AA$2:$AA$53,MATCH(monster!C533,卡牌图鉴!$C$2:$C$53,0)) * INDEX(数值规划表!$C$61:$C$71,monster!E533+1),2)</f>
        <v>91.87</v>
      </c>
      <c r="I533" s="15">
        <f>ROUND(INDEX(卡牌图鉴!$AA$2:$AA$53,MATCH(monster!C533,卡牌图鉴!$C$2:$C$53,0)) * INDEX(数值规划表!$E$61:$E$71,monster!E533+1),2)</f>
        <v>2.76</v>
      </c>
      <c r="J533" s="15">
        <f>INDEX(卡牌图鉴!$J$2:$J$53,MATCH(monster!C533,卡牌图鉴!$C$2:$C$53,0))</f>
        <v>0.75</v>
      </c>
      <c r="K533" s="15">
        <f>INDEX(卡牌图鉴!$S$2:$S$53,MATCH(monster!C533,卡牌图鉴!$C$2:$C$53,0))</f>
        <v>1</v>
      </c>
      <c r="L533" s="15">
        <f>INDEX(卡牌图鉴!$H$2:$H$53,MATCH(monster!C533,卡牌图鉴!$C$2:$C$53,0))</f>
        <v>1.1000000000000001</v>
      </c>
      <c r="M533" s="15">
        <f>INDEX(卡牌图鉴!$L$2:$L$53,MATCH(monster!C533,卡牌图鉴!$C$2:$C$53,0))</f>
        <v>4</v>
      </c>
      <c r="N533" s="15">
        <f>INDEX(卡牌图鉴!$AD$2:$AD$53,MATCH(monster!C533,卡牌图鉴!$C$2:$C$53,0))</f>
        <v>8</v>
      </c>
      <c r="O533" s="78">
        <f>INDEX(卡牌图鉴!$K$2:$K$53,MATCH(monster!C533,卡牌图鉴!$C$2:$C$53,0))</f>
        <v>4</v>
      </c>
    </row>
    <row r="534" spans="1:15" x14ac:dyDescent="0.15">
      <c r="A534" s="31">
        <v>1499</v>
      </c>
      <c r="B534" s="31" t="s">
        <v>535</v>
      </c>
      <c r="C534" s="31">
        <v>1495</v>
      </c>
      <c r="D534" s="15">
        <f>INDEX(卡牌图鉴!$S$2:$S$53,MATCH(monster!C534,卡牌图鉴!$C$2:$C$53,0))</f>
        <v>1</v>
      </c>
      <c r="E534" s="31">
        <v>4</v>
      </c>
      <c r="F534" s="15">
        <f>INT(INDEX(卡牌图鉴!$AB$2:$AB$53,MATCH(monster!C534,卡牌图鉴!$C$2:$C$57,0)) * INDEX(数值规划表!$B$61:$B$71,monster!E534+1) * 血量调整)</f>
        <v>993</v>
      </c>
      <c r="G534" s="15">
        <f>ROUND(INDEX(卡牌图鉴!$AB$2:$AB$53,MATCH(monster!C534,卡牌图鉴!$C$2:$C$57,0)) * INDEX(数值规划表!$D$61:$D$71,monster!E534+1)*血量调整,2)</f>
        <v>29.82</v>
      </c>
      <c r="H534" s="15">
        <f>ROUND(INDEX(卡牌图鉴!$AA$2:$AA$53,MATCH(monster!C534,卡牌图鉴!$C$2:$C$53,0)) * INDEX(数值规划表!$C$61:$C$71,monster!E534+1),2)</f>
        <v>102.89</v>
      </c>
      <c r="I534" s="15">
        <f>ROUND(INDEX(卡牌图鉴!$AA$2:$AA$53,MATCH(monster!C534,卡牌图鉴!$C$2:$C$53,0)) * INDEX(数值规划表!$E$61:$E$71,monster!E534+1),2)</f>
        <v>3.09</v>
      </c>
      <c r="J534" s="15">
        <f>INDEX(卡牌图鉴!$J$2:$J$53,MATCH(monster!C534,卡牌图鉴!$C$2:$C$53,0))</f>
        <v>0.75</v>
      </c>
      <c r="K534" s="15">
        <f>INDEX(卡牌图鉴!$S$2:$S$53,MATCH(monster!C534,卡牌图鉴!$C$2:$C$53,0))</f>
        <v>1</v>
      </c>
      <c r="L534" s="15">
        <f>INDEX(卡牌图鉴!$H$2:$H$53,MATCH(monster!C534,卡牌图鉴!$C$2:$C$53,0))</f>
        <v>1.1000000000000001</v>
      </c>
      <c r="M534" s="15">
        <f>INDEX(卡牌图鉴!$L$2:$L$53,MATCH(monster!C534,卡牌图鉴!$C$2:$C$53,0))</f>
        <v>4</v>
      </c>
      <c r="N534" s="15">
        <f>INDEX(卡牌图鉴!$AD$2:$AD$53,MATCH(monster!C534,卡牌图鉴!$C$2:$C$53,0))</f>
        <v>8</v>
      </c>
      <c r="O534" s="78">
        <f>INDEX(卡牌图鉴!$K$2:$K$53,MATCH(monster!C534,卡牌图鉴!$C$2:$C$53,0))</f>
        <v>4</v>
      </c>
    </row>
    <row r="535" spans="1:15" x14ac:dyDescent="0.15">
      <c r="A535" s="31">
        <v>1500</v>
      </c>
      <c r="B535" s="31" t="s">
        <v>536</v>
      </c>
      <c r="C535" s="31">
        <v>1495</v>
      </c>
      <c r="D535" s="15">
        <f>INDEX(卡牌图鉴!$S$2:$S$53,MATCH(monster!C535,卡牌图鉴!$C$2:$C$53,0))</f>
        <v>1</v>
      </c>
      <c r="E535" s="31">
        <v>5</v>
      </c>
      <c r="F535" s="15">
        <f>INT(INDEX(卡牌图鉴!$AB$2:$AB$53,MATCH(monster!C535,卡牌图鉴!$C$2:$C$57,0)) * INDEX(数值规划表!$B$61:$B$71,monster!E535+1) * 血量调整)</f>
        <v>1113</v>
      </c>
      <c r="G535" s="15">
        <f>ROUND(INDEX(卡牌图鉴!$AB$2:$AB$53,MATCH(monster!C535,卡牌图鉴!$C$2:$C$57,0)) * INDEX(数值规划表!$D$61:$D$71,monster!E535+1)*血量调整,2)</f>
        <v>33.4</v>
      </c>
      <c r="H535" s="15">
        <f>ROUND(INDEX(卡牌图鉴!$AA$2:$AA$53,MATCH(monster!C535,卡牌图鉴!$C$2:$C$53,0)) * INDEX(数值规划表!$C$61:$C$71,monster!E535+1),2)</f>
        <v>115.24</v>
      </c>
      <c r="I535" s="15">
        <f>ROUND(INDEX(卡牌图鉴!$AA$2:$AA$53,MATCH(monster!C535,卡牌图鉴!$C$2:$C$53,0)) * INDEX(数值规划表!$E$61:$E$71,monster!E535+1),2)</f>
        <v>3.46</v>
      </c>
      <c r="J535" s="15">
        <f>INDEX(卡牌图鉴!$J$2:$J$53,MATCH(monster!C535,卡牌图鉴!$C$2:$C$53,0))</f>
        <v>0.75</v>
      </c>
      <c r="K535" s="15">
        <f>INDEX(卡牌图鉴!$S$2:$S$53,MATCH(monster!C535,卡牌图鉴!$C$2:$C$53,0))</f>
        <v>1</v>
      </c>
      <c r="L535" s="15">
        <f>INDEX(卡牌图鉴!$H$2:$H$53,MATCH(monster!C535,卡牌图鉴!$C$2:$C$53,0))</f>
        <v>1.1000000000000001</v>
      </c>
      <c r="M535" s="15">
        <f>INDEX(卡牌图鉴!$L$2:$L$53,MATCH(monster!C535,卡牌图鉴!$C$2:$C$53,0))</f>
        <v>4</v>
      </c>
      <c r="N535" s="15">
        <f>INDEX(卡牌图鉴!$AD$2:$AD$53,MATCH(monster!C535,卡牌图鉴!$C$2:$C$53,0))</f>
        <v>8</v>
      </c>
      <c r="O535" s="78">
        <f>INDEX(卡牌图鉴!$K$2:$K$53,MATCH(monster!C535,卡牌图鉴!$C$2:$C$53,0))</f>
        <v>4</v>
      </c>
    </row>
    <row r="536" spans="1:15" x14ac:dyDescent="0.15">
      <c r="A536" s="31">
        <v>1501</v>
      </c>
      <c r="B536" s="31" t="s">
        <v>537</v>
      </c>
      <c r="C536" s="31">
        <v>1495</v>
      </c>
      <c r="D536" s="15">
        <f>INDEX(卡牌图鉴!$S$2:$S$53,MATCH(monster!C536,卡牌图鉴!$C$2:$C$53,0))</f>
        <v>1</v>
      </c>
      <c r="E536" s="31">
        <v>6</v>
      </c>
      <c r="F536" s="15">
        <f>INT(INDEX(卡牌图鉴!$AB$2:$AB$53,MATCH(monster!C536,卡牌图鉴!$C$2:$C$57,0)) * INDEX(数值规划表!$B$61:$B$71,monster!E536+1) * 血量调整)</f>
        <v>1246</v>
      </c>
      <c r="G536" s="15">
        <f>ROUND(INDEX(卡牌图鉴!$AB$2:$AB$53,MATCH(monster!C536,卡牌图鉴!$C$2:$C$57,0)) * INDEX(数值规划表!$D$61:$D$71,monster!E536+1)*血量调整,2)</f>
        <v>37.4</v>
      </c>
      <c r="H536" s="15">
        <f>ROUND(INDEX(卡牌图鉴!$AA$2:$AA$53,MATCH(monster!C536,卡牌图鉴!$C$2:$C$53,0)) * INDEX(数值规划表!$C$61:$C$71,monster!E536+1),2)</f>
        <v>129.07</v>
      </c>
      <c r="I536" s="15">
        <f>ROUND(INDEX(卡牌图鉴!$AA$2:$AA$53,MATCH(monster!C536,卡牌图鉴!$C$2:$C$53,0)) * INDEX(数值规划表!$E$61:$E$71,monster!E536+1),2)</f>
        <v>3.87</v>
      </c>
      <c r="J536" s="15">
        <f>INDEX(卡牌图鉴!$J$2:$J$53,MATCH(monster!C536,卡牌图鉴!$C$2:$C$53,0))</f>
        <v>0.75</v>
      </c>
      <c r="K536" s="15">
        <f>INDEX(卡牌图鉴!$S$2:$S$53,MATCH(monster!C536,卡牌图鉴!$C$2:$C$53,0))</f>
        <v>1</v>
      </c>
      <c r="L536" s="15">
        <f>INDEX(卡牌图鉴!$H$2:$H$53,MATCH(monster!C536,卡牌图鉴!$C$2:$C$53,0))</f>
        <v>1.1000000000000001</v>
      </c>
      <c r="M536" s="15">
        <f>INDEX(卡牌图鉴!$L$2:$L$53,MATCH(monster!C536,卡牌图鉴!$C$2:$C$53,0))</f>
        <v>4</v>
      </c>
      <c r="N536" s="15">
        <f>INDEX(卡牌图鉴!$AD$2:$AD$53,MATCH(monster!C536,卡牌图鉴!$C$2:$C$53,0))</f>
        <v>8</v>
      </c>
      <c r="O536" s="78">
        <f>INDEX(卡牌图鉴!$K$2:$K$53,MATCH(monster!C536,卡牌图鉴!$C$2:$C$53,0))</f>
        <v>4</v>
      </c>
    </row>
    <row r="537" spans="1:15" x14ac:dyDescent="0.15">
      <c r="A537" s="31">
        <v>1502</v>
      </c>
      <c r="B537" s="31" t="s">
        <v>538</v>
      </c>
      <c r="C537" s="31">
        <v>1495</v>
      </c>
      <c r="D537" s="15">
        <f>INDEX(卡牌图鉴!$S$2:$S$53,MATCH(monster!C537,卡牌图鉴!$C$2:$C$53,0))</f>
        <v>1</v>
      </c>
      <c r="E537" s="31">
        <v>7</v>
      </c>
      <c r="F537" s="15">
        <f>INT(INDEX(卡牌图鉴!$AB$2:$AB$53,MATCH(monster!C537,卡牌图鉴!$C$2:$C$57,0)) * INDEX(数值规划表!$B$61:$B$71,monster!E537+1) * 血量调整)</f>
        <v>1396</v>
      </c>
      <c r="G537" s="15">
        <f>ROUND(INDEX(卡牌图鉴!$AB$2:$AB$53,MATCH(monster!C537,卡牌图鉴!$C$2:$C$57,0)) * INDEX(数值规划表!$D$61:$D$71,monster!E537+1)*血量调整,2)</f>
        <v>41.89</v>
      </c>
      <c r="H537" s="15">
        <f>ROUND(INDEX(卡牌图鉴!$AA$2:$AA$53,MATCH(monster!C537,卡牌图鉴!$C$2:$C$53,0)) * INDEX(数值规划表!$C$61:$C$71,monster!E537+1),2)</f>
        <v>144.56</v>
      </c>
      <c r="I537" s="15">
        <f>ROUND(INDEX(卡牌图鉴!$AA$2:$AA$53,MATCH(monster!C537,卡牌图鉴!$C$2:$C$53,0)) * INDEX(数值规划表!$E$61:$E$71,monster!E537+1),2)</f>
        <v>4.34</v>
      </c>
      <c r="J537" s="15">
        <f>INDEX(卡牌图鉴!$J$2:$J$53,MATCH(monster!C537,卡牌图鉴!$C$2:$C$53,0))</f>
        <v>0.75</v>
      </c>
      <c r="K537" s="15">
        <f>INDEX(卡牌图鉴!$S$2:$S$53,MATCH(monster!C537,卡牌图鉴!$C$2:$C$53,0))</f>
        <v>1</v>
      </c>
      <c r="L537" s="15">
        <f>INDEX(卡牌图鉴!$H$2:$H$53,MATCH(monster!C537,卡牌图鉴!$C$2:$C$53,0))</f>
        <v>1.1000000000000001</v>
      </c>
      <c r="M537" s="15">
        <f>INDEX(卡牌图鉴!$L$2:$L$53,MATCH(monster!C537,卡牌图鉴!$C$2:$C$53,0))</f>
        <v>4</v>
      </c>
      <c r="N537" s="15">
        <f>INDEX(卡牌图鉴!$AD$2:$AD$53,MATCH(monster!C537,卡牌图鉴!$C$2:$C$53,0))</f>
        <v>8</v>
      </c>
      <c r="O537" s="78">
        <f>INDEX(卡牌图鉴!$K$2:$K$53,MATCH(monster!C537,卡牌图鉴!$C$2:$C$53,0))</f>
        <v>4</v>
      </c>
    </row>
    <row r="538" spans="1:15" x14ac:dyDescent="0.15">
      <c r="A538" s="31">
        <v>1503</v>
      </c>
      <c r="B538" s="31" t="s">
        <v>539</v>
      </c>
      <c r="C538" s="31">
        <v>1495</v>
      </c>
      <c r="D538" s="15">
        <f>INDEX(卡牌图鉴!$S$2:$S$53,MATCH(monster!C538,卡牌图鉴!$C$2:$C$53,0))</f>
        <v>1</v>
      </c>
      <c r="E538" s="31">
        <v>8</v>
      </c>
      <c r="F538" s="15">
        <f>INT(INDEX(卡牌图鉴!$AB$2:$AB$53,MATCH(monster!C538,卡牌图鉴!$C$2:$C$57,0)) * INDEX(数值规划表!$B$61:$B$71,monster!E538+1) * 血量调整)</f>
        <v>1563</v>
      </c>
      <c r="G538" s="15">
        <f>ROUND(INDEX(卡牌图鉴!$AB$2:$AB$53,MATCH(monster!C538,卡牌图鉴!$C$2:$C$57,0)) * INDEX(数值规划表!$D$61:$D$71,monster!E538+1)*血量调整,2)</f>
        <v>46.92</v>
      </c>
      <c r="H538" s="15">
        <f>ROUND(INDEX(卡牌图鉴!$AA$2:$AA$53,MATCH(monster!C538,卡牌图鉴!$C$2:$C$53,0)) * INDEX(数值规划表!$C$61:$C$71,monster!E538+1),2)</f>
        <v>161.9</v>
      </c>
      <c r="I538" s="15">
        <f>ROUND(INDEX(卡牌图鉴!$AA$2:$AA$53,MATCH(monster!C538,卡牌图鉴!$C$2:$C$53,0)) * INDEX(数值规划表!$E$61:$E$71,monster!E538+1),2)</f>
        <v>4.8600000000000003</v>
      </c>
      <c r="J538" s="15">
        <f>INDEX(卡牌图鉴!$J$2:$J$53,MATCH(monster!C538,卡牌图鉴!$C$2:$C$53,0))</f>
        <v>0.75</v>
      </c>
      <c r="K538" s="15">
        <f>INDEX(卡牌图鉴!$S$2:$S$53,MATCH(monster!C538,卡牌图鉴!$C$2:$C$53,0))</f>
        <v>1</v>
      </c>
      <c r="L538" s="15">
        <f>INDEX(卡牌图鉴!$H$2:$H$53,MATCH(monster!C538,卡牌图鉴!$C$2:$C$53,0))</f>
        <v>1.1000000000000001</v>
      </c>
      <c r="M538" s="15">
        <f>INDEX(卡牌图鉴!$L$2:$L$53,MATCH(monster!C538,卡牌图鉴!$C$2:$C$53,0))</f>
        <v>4</v>
      </c>
      <c r="N538" s="15">
        <f>INDEX(卡牌图鉴!$AD$2:$AD$53,MATCH(monster!C538,卡牌图鉴!$C$2:$C$53,0))</f>
        <v>8</v>
      </c>
      <c r="O538" s="78">
        <f>INDEX(卡牌图鉴!$K$2:$K$53,MATCH(monster!C538,卡牌图鉴!$C$2:$C$53,0))</f>
        <v>4</v>
      </c>
    </row>
    <row r="539" spans="1:15" x14ac:dyDescent="0.15">
      <c r="A539" s="31">
        <v>1504</v>
      </c>
      <c r="B539" s="31" t="s">
        <v>540</v>
      </c>
      <c r="C539" s="31">
        <v>1495</v>
      </c>
      <c r="D539" s="15">
        <f>INDEX(卡牌图鉴!$S$2:$S$53,MATCH(monster!C539,卡牌图鉴!$C$2:$C$53,0))</f>
        <v>1</v>
      </c>
      <c r="E539" s="31">
        <v>9</v>
      </c>
      <c r="F539" s="15">
        <f>INT(INDEX(卡牌图鉴!$AB$2:$AB$53,MATCH(monster!C539,卡牌图鉴!$C$2:$C$57,0)) * INDEX(数值规划表!$B$61:$B$71,monster!E539+1) * 血量调整)</f>
        <v>1751</v>
      </c>
      <c r="G539" s="15">
        <f>ROUND(INDEX(卡牌图鉴!$AB$2:$AB$53,MATCH(monster!C539,卡牌图鉴!$C$2:$C$57,0)) * INDEX(数值规划表!$D$61:$D$71,monster!E539+1)*血量调整,2)</f>
        <v>52.55</v>
      </c>
      <c r="H539" s="15">
        <f>ROUND(INDEX(卡牌图鉴!$AA$2:$AA$53,MATCH(monster!C539,卡牌图鉴!$C$2:$C$53,0)) * INDEX(数值规划表!$C$61:$C$71,monster!E539+1),2)</f>
        <v>181.33</v>
      </c>
      <c r="I539" s="15">
        <f>ROUND(INDEX(卡牌图鉴!$AA$2:$AA$53,MATCH(monster!C539,卡牌图鉴!$C$2:$C$53,0)) * INDEX(数值规划表!$E$61:$E$71,monster!E539+1),2)</f>
        <v>5.44</v>
      </c>
      <c r="J539" s="15">
        <f>INDEX(卡牌图鉴!$J$2:$J$53,MATCH(monster!C539,卡牌图鉴!$C$2:$C$53,0))</f>
        <v>0.75</v>
      </c>
      <c r="K539" s="15">
        <f>INDEX(卡牌图鉴!$S$2:$S$53,MATCH(monster!C539,卡牌图鉴!$C$2:$C$53,0))</f>
        <v>1</v>
      </c>
      <c r="L539" s="15">
        <f>INDEX(卡牌图鉴!$H$2:$H$53,MATCH(monster!C539,卡牌图鉴!$C$2:$C$53,0))</f>
        <v>1.1000000000000001</v>
      </c>
      <c r="M539" s="15">
        <f>INDEX(卡牌图鉴!$L$2:$L$53,MATCH(monster!C539,卡牌图鉴!$C$2:$C$53,0))</f>
        <v>4</v>
      </c>
      <c r="N539" s="15">
        <f>INDEX(卡牌图鉴!$AD$2:$AD$53,MATCH(monster!C539,卡牌图鉴!$C$2:$C$53,0))</f>
        <v>8</v>
      </c>
      <c r="O539" s="78">
        <f>INDEX(卡牌图鉴!$K$2:$K$53,MATCH(monster!C539,卡牌图鉴!$C$2:$C$53,0))</f>
        <v>4</v>
      </c>
    </row>
    <row r="540" spans="1:15" x14ac:dyDescent="0.15">
      <c r="A540" s="31">
        <v>1505</v>
      </c>
      <c r="B540" s="31" t="s">
        <v>541</v>
      </c>
      <c r="C540" s="31">
        <v>1495</v>
      </c>
      <c r="D540" s="15">
        <f>INDEX(卡牌图鉴!$S$2:$S$53,MATCH(monster!C540,卡牌图鉴!$C$2:$C$53,0))</f>
        <v>1</v>
      </c>
      <c r="E540" s="31">
        <v>10</v>
      </c>
      <c r="F540" s="15">
        <f>INT(INDEX(卡牌图鉴!$AB$2:$AB$53,MATCH(monster!C540,卡牌图鉴!$C$2:$C$57,0)) * INDEX(数值规划表!$B$61:$B$71,monster!E540+1) * 血量调整)</f>
        <v>1961</v>
      </c>
      <c r="G540" s="15">
        <f>ROUND(INDEX(卡牌图鉴!$AB$2:$AB$53,MATCH(monster!C540,卡牌图鉴!$C$2:$C$57,0)) * INDEX(数值规划表!$D$61:$D$71,monster!E540+1)*血量调整,2)</f>
        <v>58.86</v>
      </c>
      <c r="H540" s="15">
        <f>ROUND(INDEX(卡牌图鉴!$AA$2:$AA$53,MATCH(monster!C540,卡牌图鉴!$C$2:$C$53,0)) * INDEX(数值规划表!$C$61:$C$71,monster!E540+1),2)</f>
        <v>203.09</v>
      </c>
      <c r="I540" s="15">
        <f>ROUND(INDEX(卡牌图鉴!$AA$2:$AA$53,MATCH(monster!C540,卡牌图鉴!$C$2:$C$53,0)) * INDEX(数值规划表!$E$61:$E$71,monster!E540+1),2)</f>
        <v>6.09</v>
      </c>
      <c r="J540" s="15">
        <f>INDEX(卡牌图鉴!$J$2:$J$53,MATCH(monster!C540,卡牌图鉴!$C$2:$C$53,0))</f>
        <v>0.75</v>
      </c>
      <c r="K540" s="15">
        <f>INDEX(卡牌图鉴!$S$2:$S$53,MATCH(monster!C540,卡牌图鉴!$C$2:$C$53,0))</f>
        <v>1</v>
      </c>
      <c r="L540" s="15">
        <f>INDEX(卡牌图鉴!$H$2:$H$53,MATCH(monster!C540,卡牌图鉴!$C$2:$C$53,0))</f>
        <v>1.1000000000000001</v>
      </c>
      <c r="M540" s="15">
        <f>INDEX(卡牌图鉴!$L$2:$L$53,MATCH(monster!C540,卡牌图鉴!$C$2:$C$53,0))</f>
        <v>4</v>
      </c>
      <c r="N540" s="15">
        <f>INDEX(卡牌图鉴!$AD$2:$AD$53,MATCH(monster!C540,卡牌图鉴!$C$2:$C$53,0))</f>
        <v>8</v>
      </c>
      <c r="O540" s="78">
        <f>INDEX(卡牌图鉴!$K$2:$K$53,MATCH(monster!C540,卡牌图鉴!$C$2:$C$53,0))</f>
        <v>4</v>
      </c>
    </row>
    <row r="541" spans="1:15" x14ac:dyDescent="0.15">
      <c r="A541" s="31">
        <v>1</v>
      </c>
      <c r="B541" s="31" t="s">
        <v>1483</v>
      </c>
      <c r="C541" s="31">
        <v>1</v>
      </c>
      <c r="D541" s="15">
        <v>1</v>
      </c>
      <c r="E541" s="31">
        <v>0</v>
      </c>
      <c r="F541" s="15">
        <f>INT(数值规划表!I61* 血量调整)</f>
        <v>1949</v>
      </c>
      <c r="G541" s="15">
        <f>ROUND(数值规划表!K61*血量调整,2)</f>
        <v>58</v>
      </c>
      <c r="H541" s="15">
        <f>数值规划表!J61</f>
        <v>45</v>
      </c>
      <c r="I541" s="15">
        <f>数值规划表!L61</f>
        <v>1.35</v>
      </c>
      <c r="J541" s="15">
        <v>6</v>
      </c>
      <c r="K541" s="15">
        <v>5</v>
      </c>
      <c r="L541" s="15">
        <v>0</v>
      </c>
      <c r="M541" s="15">
        <v>0</v>
      </c>
      <c r="N541" s="15">
        <v>12</v>
      </c>
      <c r="O541" s="78">
        <v>10</v>
      </c>
    </row>
    <row r="542" spans="1:15" x14ac:dyDescent="0.15">
      <c r="A542" s="31">
        <v>3</v>
      </c>
      <c r="B542" s="31" t="s">
        <v>1484</v>
      </c>
      <c r="C542" s="31">
        <v>1</v>
      </c>
      <c r="D542" s="15">
        <v>1</v>
      </c>
      <c r="E542" s="31">
        <v>1</v>
      </c>
      <c r="F542" s="15">
        <f>INT(数值规划表!I62* 血量调整)</f>
        <v>2183</v>
      </c>
      <c r="G542" s="15">
        <f>ROUND(数值规划表!K62*血量调整,2)</f>
        <v>65</v>
      </c>
      <c r="H542" s="15">
        <f>数值规划表!J62</f>
        <v>50</v>
      </c>
      <c r="I542" s="15">
        <f>数值规划表!L62</f>
        <v>1.51</v>
      </c>
      <c r="J542" s="15">
        <v>6</v>
      </c>
      <c r="K542" s="15">
        <v>5</v>
      </c>
      <c r="L542" s="15">
        <v>0</v>
      </c>
      <c r="M542" s="15">
        <v>0</v>
      </c>
      <c r="N542" s="15">
        <v>12</v>
      </c>
      <c r="O542" s="78">
        <v>10</v>
      </c>
    </row>
    <row r="543" spans="1:15" x14ac:dyDescent="0.15">
      <c r="A543" s="31">
        <v>4</v>
      </c>
      <c r="B543" s="31" t="s">
        <v>1485</v>
      </c>
      <c r="C543" s="31">
        <v>1</v>
      </c>
      <c r="D543" s="15">
        <v>1</v>
      </c>
      <c r="E543" s="31">
        <v>2</v>
      </c>
      <c r="F543" s="15">
        <f>INT(数值规划表!I63* 血量调整)</f>
        <v>2445</v>
      </c>
      <c r="G543" s="15">
        <f>ROUND(数值规划表!K63*血量调整,2)</f>
        <v>73</v>
      </c>
      <c r="H543" s="15">
        <f>数值规划表!J63</f>
        <v>56</v>
      </c>
      <c r="I543" s="15">
        <f>数值规划表!L63</f>
        <v>1.69</v>
      </c>
      <c r="J543" s="15">
        <v>6</v>
      </c>
      <c r="K543" s="15">
        <v>5</v>
      </c>
      <c r="L543" s="15">
        <v>0</v>
      </c>
      <c r="M543" s="15">
        <v>0</v>
      </c>
      <c r="N543" s="15">
        <v>12</v>
      </c>
      <c r="O543" s="78">
        <v>10</v>
      </c>
    </row>
    <row r="544" spans="1:15" x14ac:dyDescent="0.15">
      <c r="A544" s="31">
        <v>5</v>
      </c>
      <c r="B544" s="31" t="s">
        <v>137</v>
      </c>
      <c r="C544" s="31">
        <v>1</v>
      </c>
      <c r="D544" s="15">
        <v>1</v>
      </c>
      <c r="E544" s="31">
        <v>3</v>
      </c>
      <c r="F544" s="15">
        <f>INT(数值规划表!I64* 血量调整)</f>
        <v>2738</v>
      </c>
      <c r="G544" s="15">
        <f>ROUND(数值规划表!K64*血量调整,2)</f>
        <v>82</v>
      </c>
      <c r="H544" s="15">
        <f>数值规划表!J64</f>
        <v>63</v>
      </c>
      <c r="I544" s="15">
        <f>数值规划表!L64</f>
        <v>1.9</v>
      </c>
      <c r="J544" s="15">
        <v>6</v>
      </c>
      <c r="K544" s="15">
        <v>5</v>
      </c>
      <c r="L544" s="15">
        <v>0</v>
      </c>
      <c r="M544" s="15">
        <v>0</v>
      </c>
      <c r="N544" s="15">
        <v>12</v>
      </c>
      <c r="O544" s="78">
        <v>10</v>
      </c>
    </row>
    <row r="545" spans="1:15" x14ac:dyDescent="0.15">
      <c r="A545" s="31">
        <v>6</v>
      </c>
      <c r="B545" s="31" t="s">
        <v>138</v>
      </c>
      <c r="C545" s="31">
        <v>1</v>
      </c>
      <c r="D545" s="15">
        <v>1</v>
      </c>
      <c r="E545" s="31">
        <v>4</v>
      </c>
      <c r="F545" s="15">
        <f>INT(数值规划表!I65* 血量调整)</f>
        <v>3067</v>
      </c>
      <c r="G545" s="15">
        <f>ROUND(数值规划表!K65*血量调整,2)</f>
        <v>92</v>
      </c>
      <c r="H545" s="15">
        <f>数值规划表!J65</f>
        <v>70</v>
      </c>
      <c r="I545" s="15">
        <f>数值规划表!L65</f>
        <v>2.12</v>
      </c>
      <c r="J545" s="15">
        <v>6</v>
      </c>
      <c r="K545" s="15">
        <v>5</v>
      </c>
      <c r="L545" s="15">
        <v>0</v>
      </c>
      <c r="M545" s="15">
        <v>0</v>
      </c>
      <c r="N545" s="15">
        <v>12</v>
      </c>
      <c r="O545" s="78">
        <v>10</v>
      </c>
    </row>
    <row r="546" spans="1:15" x14ac:dyDescent="0.15">
      <c r="A546" s="31">
        <v>7</v>
      </c>
      <c r="B546" s="31" t="s">
        <v>139</v>
      </c>
      <c r="C546" s="31">
        <v>1</v>
      </c>
      <c r="D546" s="15">
        <v>1</v>
      </c>
      <c r="E546" s="31">
        <v>5</v>
      </c>
      <c r="F546" s="15">
        <f>INT(数值规划表!I66* 血量调整)</f>
        <v>3435</v>
      </c>
      <c r="G546" s="15">
        <f>ROUND(数值规划表!K66*血量调整,2)</f>
        <v>103</v>
      </c>
      <c r="H546" s="15">
        <f>数值规划表!J66</f>
        <v>79</v>
      </c>
      <c r="I546" s="15">
        <f>数值规划表!L66</f>
        <v>2.38</v>
      </c>
      <c r="J546" s="15">
        <v>6</v>
      </c>
      <c r="K546" s="15">
        <v>5</v>
      </c>
      <c r="L546" s="15">
        <v>0</v>
      </c>
      <c r="M546" s="15">
        <v>0</v>
      </c>
      <c r="N546" s="15">
        <v>12</v>
      </c>
      <c r="O546" s="78">
        <v>10</v>
      </c>
    </row>
    <row r="547" spans="1:15" x14ac:dyDescent="0.15">
      <c r="A547" s="31">
        <v>8</v>
      </c>
      <c r="B547" s="31" t="s">
        <v>140</v>
      </c>
      <c r="C547" s="31">
        <v>1</v>
      </c>
      <c r="D547" s="15">
        <v>1</v>
      </c>
      <c r="E547" s="31">
        <v>6</v>
      </c>
      <c r="F547" s="15">
        <f>INT(数值规划表!I67* 血量调整)</f>
        <v>3848</v>
      </c>
      <c r="G547" s="15">
        <f>ROUND(数值规划表!K67*血量调整,2)</f>
        <v>115</v>
      </c>
      <c r="H547" s="15">
        <f>数值规划表!J67</f>
        <v>88</v>
      </c>
      <c r="I547" s="15">
        <f>数值规划表!L67</f>
        <v>2.67</v>
      </c>
      <c r="J547" s="15">
        <v>6</v>
      </c>
      <c r="K547" s="15">
        <v>5</v>
      </c>
      <c r="L547" s="15">
        <v>0</v>
      </c>
      <c r="M547" s="15">
        <v>0</v>
      </c>
      <c r="N547" s="15">
        <v>12</v>
      </c>
      <c r="O547" s="78">
        <v>10</v>
      </c>
    </row>
    <row r="548" spans="1:15" x14ac:dyDescent="0.15">
      <c r="A548" s="31">
        <v>9</v>
      </c>
      <c r="B548" s="31" t="s">
        <v>141</v>
      </c>
      <c r="C548" s="31">
        <v>1</v>
      </c>
      <c r="D548" s="15">
        <v>1</v>
      </c>
      <c r="E548" s="31">
        <v>7</v>
      </c>
      <c r="F548" s="15">
        <f>INT(数值规划表!I68* 血量调整)</f>
        <v>4309</v>
      </c>
      <c r="G548" s="15">
        <f>ROUND(数值规划表!K68*血量调整,2)</f>
        <v>129</v>
      </c>
      <c r="H548" s="15">
        <f>数值规划表!J68</f>
        <v>99</v>
      </c>
      <c r="I548" s="15">
        <f>数值规划表!L68</f>
        <v>2.99</v>
      </c>
      <c r="J548" s="15">
        <v>6</v>
      </c>
      <c r="K548" s="15">
        <v>5</v>
      </c>
      <c r="L548" s="15">
        <v>0</v>
      </c>
      <c r="M548" s="15">
        <v>0</v>
      </c>
      <c r="N548" s="15">
        <v>12</v>
      </c>
      <c r="O548" s="78">
        <v>10</v>
      </c>
    </row>
    <row r="549" spans="1:15" x14ac:dyDescent="0.15">
      <c r="A549" s="31">
        <v>10</v>
      </c>
      <c r="B549" s="31" t="s">
        <v>142</v>
      </c>
      <c r="C549" s="31">
        <v>1</v>
      </c>
      <c r="D549" s="15">
        <v>1</v>
      </c>
      <c r="E549" s="31">
        <v>8</v>
      </c>
      <c r="F549" s="15">
        <f>INT(数值规划表!I69* 血量调整)</f>
        <v>4827</v>
      </c>
      <c r="G549" s="15">
        <f>ROUND(数值规划表!K69*血量调整,2)</f>
        <v>144</v>
      </c>
      <c r="H549" s="15">
        <f>数值规划表!J69</f>
        <v>111</v>
      </c>
      <c r="I549" s="15">
        <f>数值规划表!L69</f>
        <v>3.34</v>
      </c>
      <c r="J549" s="15">
        <v>6</v>
      </c>
      <c r="K549" s="15">
        <v>5</v>
      </c>
      <c r="L549" s="15">
        <v>0</v>
      </c>
      <c r="M549" s="15">
        <v>0</v>
      </c>
      <c r="N549" s="15">
        <v>12</v>
      </c>
      <c r="O549" s="78">
        <v>10</v>
      </c>
    </row>
    <row r="550" spans="1:15" x14ac:dyDescent="0.15">
      <c r="A550" s="31">
        <v>11</v>
      </c>
      <c r="B550" s="31" t="s">
        <v>143</v>
      </c>
      <c r="C550" s="31">
        <v>1</v>
      </c>
      <c r="D550" s="15">
        <v>1</v>
      </c>
      <c r="E550" s="31">
        <v>9</v>
      </c>
      <c r="F550" s="15">
        <f>INT(数值规划表!I70* 血量调整)</f>
        <v>5406</v>
      </c>
      <c r="G550" s="15">
        <f>ROUND(数值规划表!K70*血量调整,2)</f>
        <v>162</v>
      </c>
      <c r="H550" s="15">
        <f>数值规划表!J70</f>
        <v>124</v>
      </c>
      <c r="I550" s="15">
        <f>数值规划表!L70</f>
        <v>3.74</v>
      </c>
      <c r="J550" s="15">
        <v>6</v>
      </c>
      <c r="K550" s="15">
        <v>5</v>
      </c>
      <c r="L550" s="15">
        <v>0</v>
      </c>
      <c r="M550" s="15">
        <v>0</v>
      </c>
      <c r="N550" s="15">
        <v>12</v>
      </c>
      <c r="O550" s="78">
        <v>10</v>
      </c>
    </row>
    <row r="551" spans="1:15" x14ac:dyDescent="0.15">
      <c r="A551" s="31">
        <v>12</v>
      </c>
      <c r="B551" s="31" t="s">
        <v>144</v>
      </c>
      <c r="C551" s="31">
        <v>1</v>
      </c>
      <c r="D551" s="15">
        <v>1</v>
      </c>
      <c r="E551" s="31">
        <v>10</v>
      </c>
      <c r="F551" s="15">
        <f>INT(数值规划表!I71* 血量调整)</f>
        <v>6055</v>
      </c>
      <c r="G551" s="15">
        <f>ROUND(数值规划表!K71*血量调整,2)</f>
        <v>181</v>
      </c>
      <c r="H551" s="15">
        <f>数值规划表!J71</f>
        <v>139</v>
      </c>
      <c r="I551" s="15">
        <f>数值规划表!L71</f>
        <v>4.1900000000000004</v>
      </c>
      <c r="J551" s="15">
        <v>6</v>
      </c>
      <c r="K551" s="15">
        <v>5</v>
      </c>
      <c r="L551" s="15">
        <v>0</v>
      </c>
      <c r="M551" s="15">
        <v>0</v>
      </c>
      <c r="N551" s="15">
        <v>12</v>
      </c>
      <c r="O551" s="78">
        <v>10</v>
      </c>
    </row>
    <row r="552" spans="1:15" x14ac:dyDescent="0.15">
      <c r="A552" s="31">
        <v>2</v>
      </c>
      <c r="B552" s="31" t="s">
        <v>1369</v>
      </c>
      <c r="C552" s="31">
        <v>2</v>
      </c>
      <c r="D552" s="15">
        <v>1</v>
      </c>
      <c r="E552" s="31">
        <v>0</v>
      </c>
      <c r="F552" s="15">
        <f>INT(数值规划表!I61* 血量调整)</f>
        <v>1949</v>
      </c>
      <c r="G552" s="15">
        <f>ROUND(数值规划表!K61*血量调整,2)</f>
        <v>58</v>
      </c>
      <c r="H552" s="15">
        <f>数值规划表!J61</f>
        <v>45</v>
      </c>
      <c r="I552" s="15">
        <f>数值规划表!L61</f>
        <v>1.35</v>
      </c>
      <c r="J552" s="15">
        <v>6</v>
      </c>
      <c r="K552" s="15">
        <v>5</v>
      </c>
      <c r="L552" s="15">
        <v>0</v>
      </c>
      <c r="M552" s="15">
        <v>0</v>
      </c>
      <c r="N552" s="15">
        <v>12</v>
      </c>
      <c r="O552" s="78">
        <v>10</v>
      </c>
    </row>
    <row r="553" spans="1:15" x14ac:dyDescent="0.15">
      <c r="A553" s="31">
        <v>13</v>
      </c>
      <c r="B553" s="31" t="s">
        <v>1370</v>
      </c>
      <c r="C553" s="31">
        <v>2</v>
      </c>
      <c r="D553" s="15">
        <v>1</v>
      </c>
      <c r="E553" s="31">
        <v>1</v>
      </c>
      <c r="F553" s="15">
        <f>INT(数值规划表!I62* 血量调整)</f>
        <v>2183</v>
      </c>
      <c r="G553" s="15">
        <f>ROUND(数值规划表!K62*血量调整,2)</f>
        <v>65</v>
      </c>
      <c r="H553" s="15">
        <f>数值规划表!J62</f>
        <v>50</v>
      </c>
      <c r="I553" s="15">
        <f>数值规划表!L62</f>
        <v>1.51</v>
      </c>
      <c r="J553" s="15">
        <v>6</v>
      </c>
      <c r="K553" s="15">
        <v>5</v>
      </c>
      <c r="L553" s="15">
        <v>0</v>
      </c>
      <c r="M553" s="15">
        <v>0</v>
      </c>
      <c r="N553" s="15">
        <v>12</v>
      </c>
      <c r="O553" s="78">
        <v>10</v>
      </c>
    </row>
    <row r="554" spans="1:15" x14ac:dyDescent="0.15">
      <c r="A554" s="31">
        <v>14</v>
      </c>
      <c r="B554" s="31" t="s">
        <v>1486</v>
      </c>
      <c r="C554" s="31">
        <v>2</v>
      </c>
      <c r="D554" s="15">
        <v>1</v>
      </c>
      <c r="E554" s="31">
        <v>2</v>
      </c>
      <c r="F554" s="15">
        <f>INT(数值规划表!I63* 血量调整)</f>
        <v>2445</v>
      </c>
      <c r="G554" s="15">
        <f>ROUND(数值规划表!K63*血量调整,2)</f>
        <v>73</v>
      </c>
      <c r="H554" s="15">
        <f>数值规划表!J63</f>
        <v>56</v>
      </c>
      <c r="I554" s="15">
        <f>数值规划表!L63</f>
        <v>1.69</v>
      </c>
      <c r="J554" s="15">
        <v>6</v>
      </c>
      <c r="K554" s="15">
        <v>5</v>
      </c>
      <c r="L554" s="15">
        <v>0</v>
      </c>
      <c r="M554" s="15">
        <v>0</v>
      </c>
      <c r="N554" s="15">
        <v>12</v>
      </c>
      <c r="O554" s="78">
        <v>10</v>
      </c>
    </row>
    <row r="555" spans="1:15" x14ac:dyDescent="0.15">
      <c r="A555" s="31">
        <v>15</v>
      </c>
      <c r="B555" s="31" t="s">
        <v>145</v>
      </c>
      <c r="C555" s="31">
        <v>2</v>
      </c>
      <c r="D555" s="15">
        <v>1</v>
      </c>
      <c r="E555" s="31">
        <v>3</v>
      </c>
      <c r="F555" s="15">
        <f>INT(数值规划表!I64* 血量调整)</f>
        <v>2738</v>
      </c>
      <c r="G555" s="15">
        <f>ROUND(数值规划表!K64*血量调整,2)</f>
        <v>82</v>
      </c>
      <c r="H555" s="15">
        <f>数值规划表!J64</f>
        <v>63</v>
      </c>
      <c r="I555" s="15">
        <f>数值规划表!L64</f>
        <v>1.9</v>
      </c>
      <c r="J555" s="15">
        <v>6</v>
      </c>
      <c r="K555" s="15">
        <v>5</v>
      </c>
      <c r="L555" s="15">
        <v>0</v>
      </c>
      <c r="M555" s="15">
        <v>0</v>
      </c>
      <c r="N555" s="15">
        <v>12</v>
      </c>
      <c r="O555" s="78">
        <v>10</v>
      </c>
    </row>
    <row r="556" spans="1:15" x14ac:dyDescent="0.15">
      <c r="A556" s="31">
        <v>16</v>
      </c>
      <c r="B556" s="31" t="s">
        <v>146</v>
      </c>
      <c r="C556" s="31">
        <v>2</v>
      </c>
      <c r="D556" s="15">
        <v>1</v>
      </c>
      <c r="E556" s="31">
        <v>4</v>
      </c>
      <c r="F556" s="15">
        <f>INT(数值规划表!I65* 血量调整)</f>
        <v>3067</v>
      </c>
      <c r="G556" s="15">
        <f>ROUND(数值规划表!K65*血量调整,2)</f>
        <v>92</v>
      </c>
      <c r="H556" s="15">
        <f>数值规划表!J65</f>
        <v>70</v>
      </c>
      <c r="I556" s="15">
        <f>数值规划表!L65</f>
        <v>2.12</v>
      </c>
      <c r="J556" s="15">
        <v>6</v>
      </c>
      <c r="K556" s="15">
        <v>5</v>
      </c>
      <c r="L556" s="15">
        <v>0</v>
      </c>
      <c r="M556" s="15">
        <v>0</v>
      </c>
      <c r="N556" s="15">
        <v>12</v>
      </c>
      <c r="O556" s="78">
        <v>10</v>
      </c>
    </row>
    <row r="557" spans="1:15" x14ac:dyDescent="0.15">
      <c r="A557" s="31">
        <v>17</v>
      </c>
      <c r="B557" s="31" t="s">
        <v>147</v>
      </c>
      <c r="C557" s="31">
        <v>2</v>
      </c>
      <c r="D557" s="15">
        <v>1</v>
      </c>
      <c r="E557" s="31">
        <v>5</v>
      </c>
      <c r="F557" s="15">
        <f>INT(数值规划表!I66* 血量调整)</f>
        <v>3435</v>
      </c>
      <c r="G557" s="15">
        <f>ROUND(数值规划表!K66*血量调整,2)</f>
        <v>103</v>
      </c>
      <c r="H557" s="15">
        <f>数值规划表!J66</f>
        <v>79</v>
      </c>
      <c r="I557" s="15">
        <f>数值规划表!L66</f>
        <v>2.38</v>
      </c>
      <c r="J557" s="15">
        <v>6</v>
      </c>
      <c r="K557" s="15">
        <v>5</v>
      </c>
      <c r="L557" s="15">
        <v>0</v>
      </c>
      <c r="M557" s="15">
        <v>0</v>
      </c>
      <c r="N557" s="15">
        <v>12</v>
      </c>
      <c r="O557" s="78">
        <v>10</v>
      </c>
    </row>
    <row r="558" spans="1:15" x14ac:dyDescent="0.15">
      <c r="A558" s="31">
        <v>18</v>
      </c>
      <c r="B558" s="31" t="s">
        <v>148</v>
      </c>
      <c r="C558" s="31">
        <v>2</v>
      </c>
      <c r="D558" s="15">
        <v>1</v>
      </c>
      <c r="E558" s="31">
        <v>6</v>
      </c>
      <c r="F558" s="15">
        <f>INT(数值规划表!I67* 血量调整)</f>
        <v>3848</v>
      </c>
      <c r="G558" s="15">
        <f>ROUND(数值规划表!K67*血量调整,2)</f>
        <v>115</v>
      </c>
      <c r="H558" s="15">
        <f>数值规划表!J67</f>
        <v>88</v>
      </c>
      <c r="I558" s="15">
        <f>数值规划表!L67</f>
        <v>2.67</v>
      </c>
      <c r="J558" s="15">
        <v>6</v>
      </c>
      <c r="K558" s="15">
        <v>5</v>
      </c>
      <c r="L558" s="15">
        <v>0</v>
      </c>
      <c r="M558" s="15">
        <v>0</v>
      </c>
      <c r="N558" s="15">
        <v>12</v>
      </c>
      <c r="O558" s="78">
        <v>10</v>
      </c>
    </row>
    <row r="559" spans="1:15" x14ac:dyDescent="0.15">
      <c r="A559" s="31">
        <v>19</v>
      </c>
      <c r="B559" s="31" t="s">
        <v>149</v>
      </c>
      <c r="C559" s="31">
        <v>2</v>
      </c>
      <c r="D559" s="15">
        <v>1</v>
      </c>
      <c r="E559" s="31">
        <v>7</v>
      </c>
      <c r="F559" s="15">
        <f>INT(数值规划表!I68* 血量调整)</f>
        <v>4309</v>
      </c>
      <c r="G559" s="15">
        <f>ROUND(数值规划表!K68*血量调整,2)</f>
        <v>129</v>
      </c>
      <c r="H559" s="15">
        <f>数值规划表!J68</f>
        <v>99</v>
      </c>
      <c r="I559" s="15">
        <f>数值规划表!L68</f>
        <v>2.99</v>
      </c>
      <c r="J559" s="15">
        <v>6</v>
      </c>
      <c r="K559" s="15">
        <v>5</v>
      </c>
      <c r="L559" s="15">
        <v>0</v>
      </c>
      <c r="M559" s="15">
        <v>0</v>
      </c>
      <c r="N559" s="15">
        <v>12</v>
      </c>
      <c r="O559" s="78">
        <v>10</v>
      </c>
    </row>
    <row r="560" spans="1:15" x14ac:dyDescent="0.15">
      <c r="A560" s="31">
        <v>20</v>
      </c>
      <c r="B560" s="31" t="s">
        <v>150</v>
      </c>
      <c r="C560" s="31">
        <v>2</v>
      </c>
      <c r="D560" s="15">
        <v>1</v>
      </c>
      <c r="E560" s="31">
        <v>8</v>
      </c>
      <c r="F560" s="15">
        <f>INT(数值规划表!I69* 血量调整)</f>
        <v>4827</v>
      </c>
      <c r="G560" s="15">
        <f>ROUND(数值规划表!K69*血量调整,2)</f>
        <v>144</v>
      </c>
      <c r="H560" s="15">
        <f>数值规划表!J69</f>
        <v>111</v>
      </c>
      <c r="I560" s="15">
        <f>数值规划表!L69</f>
        <v>3.34</v>
      </c>
      <c r="J560" s="15">
        <v>6</v>
      </c>
      <c r="K560" s="15">
        <v>5</v>
      </c>
      <c r="L560" s="15">
        <v>0</v>
      </c>
      <c r="M560" s="15">
        <v>0</v>
      </c>
      <c r="N560" s="15">
        <v>12</v>
      </c>
      <c r="O560" s="78">
        <v>10</v>
      </c>
    </row>
    <row r="561" spans="1:15" x14ac:dyDescent="0.15">
      <c r="A561" s="31">
        <v>21</v>
      </c>
      <c r="B561" s="31" t="s">
        <v>151</v>
      </c>
      <c r="C561" s="31">
        <v>2</v>
      </c>
      <c r="D561" s="15">
        <v>1</v>
      </c>
      <c r="E561" s="31">
        <v>9</v>
      </c>
      <c r="F561" s="15">
        <f>INT(数值规划表!I70* 血量调整)</f>
        <v>5406</v>
      </c>
      <c r="G561" s="15">
        <f>ROUND(数值规划表!K70*血量调整,2)</f>
        <v>162</v>
      </c>
      <c r="H561" s="15">
        <f>数值规划表!J70</f>
        <v>124</v>
      </c>
      <c r="I561" s="15">
        <f>数值规划表!L70</f>
        <v>3.74</v>
      </c>
      <c r="J561" s="15">
        <v>6</v>
      </c>
      <c r="K561" s="15">
        <v>5</v>
      </c>
      <c r="L561" s="15">
        <v>0</v>
      </c>
      <c r="M561" s="15">
        <v>0</v>
      </c>
      <c r="N561" s="15">
        <v>12</v>
      </c>
      <c r="O561" s="78">
        <v>10</v>
      </c>
    </row>
    <row r="562" spans="1:15" x14ac:dyDescent="0.15">
      <c r="A562" s="31">
        <v>22</v>
      </c>
      <c r="B562" s="31" t="s">
        <v>152</v>
      </c>
      <c r="C562" s="31">
        <v>2</v>
      </c>
      <c r="D562" s="15">
        <v>1</v>
      </c>
      <c r="E562" s="31">
        <v>10</v>
      </c>
      <c r="F562" s="15">
        <f>INT(数值规划表!I71* 血量调整)</f>
        <v>6055</v>
      </c>
      <c r="G562" s="15">
        <f>ROUND(数值规划表!K71*血量调整,2)</f>
        <v>181</v>
      </c>
      <c r="H562" s="15">
        <f>数值规划表!J71</f>
        <v>139</v>
      </c>
      <c r="I562" s="15">
        <f>数值规划表!L71</f>
        <v>4.1900000000000004</v>
      </c>
      <c r="J562" s="15">
        <v>6</v>
      </c>
      <c r="K562" s="15">
        <v>5</v>
      </c>
      <c r="L562" s="15">
        <v>0</v>
      </c>
      <c r="M562" s="15">
        <v>0</v>
      </c>
      <c r="N562" s="15">
        <v>12</v>
      </c>
      <c r="O562" s="78">
        <v>10</v>
      </c>
    </row>
    <row r="563" spans="1:15" x14ac:dyDescent="0.15">
      <c r="A563" s="31">
        <v>1561</v>
      </c>
      <c r="B563" s="31" t="s">
        <v>1487</v>
      </c>
      <c r="C563" s="31">
        <v>1561</v>
      </c>
      <c r="D563" s="15">
        <f>INDEX(卡牌图鉴!$S$2:$S$53,MATCH(monster!C563,卡牌图鉴!$C$2:$C$53,0))</f>
        <v>5</v>
      </c>
      <c r="E563" s="31">
        <v>0</v>
      </c>
      <c r="F563" s="15">
        <f>INT(INDEX(卡牌图鉴!$AB$2:$AB$53,MATCH(monster!C563,卡牌图鉴!$C$2:$C$57,0)) * INDEX(数值规划表!$B$61:$B$71,monster!E563+1) * 血量调整)</f>
        <v>246</v>
      </c>
      <c r="G563" s="15">
        <f>ROUND(INDEX(卡牌图鉴!$AB$2:$AB$53,MATCH(monster!C563,卡牌图鉴!$C$2:$C$57,0)) * INDEX(数值规划表!$D$61:$D$71,monster!E563+1)*血量调整,2)</f>
        <v>7.38</v>
      </c>
      <c r="H563" s="15">
        <f>ROUND(INDEX(卡牌图鉴!$AA$2:$AA$53,MATCH(monster!C563,卡牌图鉴!$C$2:$C$53,0)) * INDEX(数值规划表!$C$61:$C$71,monster!E563+1),2)</f>
        <v>48.17</v>
      </c>
      <c r="I563" s="15">
        <f>ROUND(INDEX(卡牌图鉴!$AA$2:$AA$53,MATCH(monster!C563,卡牌图鉴!$C$2:$C$53,0)) * INDEX(数值规划表!$E$61:$E$71,monster!E563+1),2)</f>
        <v>1.45</v>
      </c>
      <c r="J563" s="15">
        <f>INDEX(卡牌图鉴!$J$2:$J$53,MATCH(monster!C563,卡牌图鉴!$C$2:$C$53,0))</f>
        <v>9</v>
      </c>
      <c r="K563" s="15">
        <f>INDEX(卡牌图鉴!$S$2:$S$53,MATCH(monster!C563,卡牌图鉴!$C$2:$C$53,0))</f>
        <v>5</v>
      </c>
      <c r="L563" s="15">
        <f>INDEX(卡牌图鉴!$H$2:$H$53,MATCH(monster!C563,卡牌图鉴!$C$2:$C$53,0))</f>
        <v>1.4</v>
      </c>
      <c r="M563" s="15">
        <f>INDEX(卡牌图鉴!$L$2:$L$53,MATCH(monster!C563,卡牌图鉴!$C$2:$C$53,0))</f>
        <v>4</v>
      </c>
      <c r="N563" s="15">
        <f>INDEX(卡牌图鉴!$AD$2:$AD$53,MATCH(monster!C563,卡牌图鉴!$C$2:$C$53,0))</f>
        <v>12</v>
      </c>
      <c r="O563" s="78">
        <f>INDEX(卡牌图鉴!$K$2:$K$53,MATCH(monster!C563,卡牌图鉴!$C$2:$C$53,0))</f>
        <v>4</v>
      </c>
    </row>
    <row r="564" spans="1:15" x14ac:dyDescent="0.15">
      <c r="A564" s="31">
        <v>1562</v>
      </c>
      <c r="B564" s="31" t="s">
        <v>1488</v>
      </c>
      <c r="C564" s="31">
        <v>1561</v>
      </c>
      <c r="D564" s="15">
        <f>INDEX(卡牌图鉴!$S$2:$S$53,MATCH(monster!C564,卡牌图鉴!$C$2:$C$53,0))</f>
        <v>5</v>
      </c>
      <c r="E564" s="31">
        <v>1</v>
      </c>
      <c r="F564" s="15">
        <f>INT(INDEX(卡牌图鉴!$AB$2:$AB$53,MATCH(monster!C564,卡牌图鉴!$C$2:$C$57,0)) * INDEX(数值规划表!$B$61:$B$71,monster!E564+1) * 血量调整)</f>
        <v>275</v>
      </c>
      <c r="G564" s="15">
        <f>ROUND(INDEX(卡牌图鉴!$AB$2:$AB$53,MATCH(monster!C564,卡牌图鉴!$C$2:$C$57,0)) * INDEX(数值规划表!$D$61:$D$71,monster!E564+1)*血量调整,2)</f>
        <v>8.27</v>
      </c>
      <c r="H564" s="15">
        <f>ROUND(INDEX(卡牌图鉴!$AA$2:$AA$53,MATCH(monster!C564,卡牌图鉴!$C$2:$C$53,0)) * INDEX(数值规划表!$C$61:$C$71,monster!E564+1),2)</f>
        <v>53.95</v>
      </c>
      <c r="I564" s="15">
        <f>ROUND(INDEX(卡牌图鉴!$AA$2:$AA$53,MATCH(monster!C564,卡牌图鉴!$C$2:$C$53,0)) * INDEX(数值规划表!$E$61:$E$71,monster!E564+1),2)</f>
        <v>1.62</v>
      </c>
      <c r="J564" s="15">
        <f>INDEX(卡牌图鉴!$J$2:$J$53,MATCH(monster!C564,卡牌图鉴!$C$2:$C$53,0))</f>
        <v>9</v>
      </c>
      <c r="K564" s="15">
        <f>INDEX(卡牌图鉴!$S$2:$S$53,MATCH(monster!C564,卡牌图鉴!$C$2:$C$53,0))</f>
        <v>5</v>
      </c>
      <c r="L564" s="15">
        <f>INDEX(卡牌图鉴!$H$2:$H$53,MATCH(monster!C564,卡牌图鉴!$C$2:$C$53,0))</f>
        <v>1.4</v>
      </c>
      <c r="M564" s="15">
        <f>INDEX(卡牌图鉴!$L$2:$L$53,MATCH(monster!C564,卡牌图鉴!$C$2:$C$53,0))</f>
        <v>4</v>
      </c>
      <c r="N564" s="15">
        <f>INDEX(卡牌图鉴!$AD$2:$AD$53,MATCH(monster!C564,卡牌图鉴!$C$2:$C$53,0))</f>
        <v>12</v>
      </c>
      <c r="O564" s="78">
        <f>INDEX(卡牌图鉴!$K$2:$K$53,MATCH(monster!C564,卡牌图鉴!$C$2:$C$53,0))</f>
        <v>4</v>
      </c>
    </row>
    <row r="565" spans="1:15" x14ac:dyDescent="0.15">
      <c r="A565" s="31">
        <v>1563</v>
      </c>
      <c r="B565" s="31" t="s">
        <v>587</v>
      </c>
      <c r="C565" s="31">
        <v>1561</v>
      </c>
      <c r="D565" s="15">
        <f>INDEX(卡牌图鉴!$S$2:$S$53,MATCH(monster!C565,卡牌图鉴!$C$2:$C$53,0))</f>
        <v>5</v>
      </c>
      <c r="E565" s="31">
        <v>2</v>
      </c>
      <c r="F565" s="15">
        <f>INT(INDEX(卡牌图鉴!$AB$2:$AB$53,MATCH(monster!C565,卡牌图鉴!$C$2:$C$57,0)) * INDEX(数值规划表!$B$61:$B$71,monster!E565+1) * 血量调整)</f>
        <v>308</v>
      </c>
      <c r="G565" s="15">
        <f>ROUND(INDEX(卡牌图鉴!$AB$2:$AB$53,MATCH(monster!C565,卡牌图鉴!$C$2:$C$57,0)) * INDEX(数值规划表!$D$61:$D$71,monster!E565+1)*血量调整,2)</f>
        <v>9.26</v>
      </c>
      <c r="H565" s="15">
        <f>ROUND(INDEX(卡牌图鉴!$AA$2:$AA$53,MATCH(monster!C565,卡牌图鉴!$C$2:$C$53,0)) * INDEX(数值规划表!$C$61:$C$71,monster!E565+1),2)</f>
        <v>60.42</v>
      </c>
      <c r="I565" s="15">
        <f>ROUND(INDEX(卡牌图鉴!$AA$2:$AA$53,MATCH(monster!C565,卡牌图鉴!$C$2:$C$53,0)) * INDEX(数值规划表!$E$61:$E$71,monster!E565+1),2)</f>
        <v>1.81</v>
      </c>
      <c r="J565" s="15">
        <f>INDEX(卡牌图鉴!$J$2:$J$53,MATCH(monster!C565,卡牌图鉴!$C$2:$C$53,0))</f>
        <v>9</v>
      </c>
      <c r="K565" s="15">
        <f>INDEX(卡牌图鉴!$S$2:$S$53,MATCH(monster!C565,卡牌图鉴!$C$2:$C$53,0))</f>
        <v>5</v>
      </c>
      <c r="L565" s="15">
        <f>INDEX(卡牌图鉴!$H$2:$H$53,MATCH(monster!C565,卡牌图鉴!$C$2:$C$53,0))</f>
        <v>1.4</v>
      </c>
      <c r="M565" s="15">
        <f>INDEX(卡牌图鉴!$L$2:$L$53,MATCH(monster!C565,卡牌图鉴!$C$2:$C$53,0))</f>
        <v>4</v>
      </c>
      <c r="N565" s="15">
        <f>INDEX(卡牌图鉴!$AD$2:$AD$53,MATCH(monster!C565,卡牌图鉴!$C$2:$C$53,0))</f>
        <v>12</v>
      </c>
      <c r="O565" s="78">
        <f>INDEX(卡牌图鉴!$K$2:$K$53,MATCH(monster!C565,卡牌图鉴!$C$2:$C$53,0))</f>
        <v>4</v>
      </c>
    </row>
    <row r="566" spans="1:15" x14ac:dyDescent="0.15">
      <c r="A566" s="31">
        <v>1564</v>
      </c>
      <c r="B566" s="31" t="s">
        <v>588</v>
      </c>
      <c r="C566" s="31">
        <v>1561</v>
      </c>
      <c r="D566" s="15">
        <f>INDEX(卡牌图鉴!$S$2:$S$53,MATCH(monster!C566,卡牌图鉴!$C$2:$C$53,0))</f>
        <v>5</v>
      </c>
      <c r="E566" s="31">
        <v>3</v>
      </c>
      <c r="F566" s="15">
        <f>INT(INDEX(卡牌图鉴!$AB$2:$AB$53,MATCH(monster!C566,卡牌图鉴!$C$2:$C$57,0)) * INDEX(数值规划表!$B$61:$B$71,monster!E566+1) * 血量调整)</f>
        <v>345</v>
      </c>
      <c r="G566" s="15">
        <f>ROUND(INDEX(卡牌图鉴!$AB$2:$AB$53,MATCH(monster!C566,卡牌图鉴!$C$2:$C$57,0)) * INDEX(数值规划表!$D$61:$D$71,monster!E566+1)*血量调整,2)</f>
        <v>10.37</v>
      </c>
      <c r="H566" s="15">
        <f>ROUND(INDEX(卡牌图鉴!$AA$2:$AA$53,MATCH(monster!C566,卡牌图鉴!$C$2:$C$53,0)) * INDEX(数值规划表!$C$61:$C$71,monster!E566+1),2)</f>
        <v>67.680000000000007</v>
      </c>
      <c r="I566" s="15">
        <f>ROUND(INDEX(卡牌图鉴!$AA$2:$AA$53,MATCH(monster!C566,卡牌图鉴!$C$2:$C$53,0)) * INDEX(数值规划表!$E$61:$E$71,monster!E566+1),2)</f>
        <v>2.0299999999999998</v>
      </c>
      <c r="J566" s="15">
        <f>INDEX(卡牌图鉴!$J$2:$J$53,MATCH(monster!C566,卡牌图鉴!$C$2:$C$53,0))</f>
        <v>9</v>
      </c>
      <c r="K566" s="15">
        <f>INDEX(卡牌图鉴!$S$2:$S$53,MATCH(monster!C566,卡牌图鉴!$C$2:$C$53,0))</f>
        <v>5</v>
      </c>
      <c r="L566" s="15">
        <f>INDEX(卡牌图鉴!$H$2:$H$53,MATCH(monster!C566,卡牌图鉴!$C$2:$C$53,0))</f>
        <v>1.4</v>
      </c>
      <c r="M566" s="15">
        <f>INDEX(卡牌图鉴!$L$2:$L$53,MATCH(monster!C566,卡牌图鉴!$C$2:$C$53,0))</f>
        <v>4</v>
      </c>
      <c r="N566" s="15">
        <f>INDEX(卡牌图鉴!$AD$2:$AD$53,MATCH(monster!C566,卡牌图鉴!$C$2:$C$53,0))</f>
        <v>12</v>
      </c>
      <c r="O566" s="78">
        <f>INDEX(卡牌图鉴!$K$2:$K$53,MATCH(monster!C566,卡牌图鉴!$C$2:$C$53,0))</f>
        <v>4</v>
      </c>
    </row>
    <row r="567" spans="1:15" x14ac:dyDescent="0.15">
      <c r="A567" s="31">
        <v>1565</v>
      </c>
      <c r="B567" s="31" t="s">
        <v>589</v>
      </c>
      <c r="C567" s="31">
        <v>1561</v>
      </c>
      <c r="D567" s="15">
        <f>INDEX(卡牌图鉴!$S$2:$S$53,MATCH(monster!C567,卡牌图鉴!$C$2:$C$53,0))</f>
        <v>5</v>
      </c>
      <c r="E567" s="31">
        <v>4</v>
      </c>
      <c r="F567" s="15">
        <f>INT(INDEX(卡牌图鉴!$AB$2:$AB$53,MATCH(monster!C567,卡牌图鉴!$C$2:$C$57,0)) * INDEX(数值规划表!$B$61:$B$71,monster!E567+1) * 血量调整)</f>
        <v>387</v>
      </c>
      <c r="G567" s="15">
        <f>ROUND(INDEX(卡牌图鉴!$AB$2:$AB$53,MATCH(monster!C567,卡牌图鉴!$C$2:$C$57,0)) * INDEX(数值规划表!$D$61:$D$71,monster!E567+1)*血量调整,2)</f>
        <v>11.61</v>
      </c>
      <c r="H567" s="15">
        <f>ROUND(INDEX(卡牌图鉴!$AA$2:$AA$53,MATCH(monster!C567,卡牌图鉴!$C$2:$C$53,0)) * INDEX(数值规划表!$C$61:$C$71,monster!E567+1),2)</f>
        <v>75.8</v>
      </c>
      <c r="I567" s="15">
        <f>ROUND(INDEX(卡牌图鉴!$AA$2:$AA$53,MATCH(monster!C567,卡牌图鉴!$C$2:$C$53,0)) * INDEX(数值规划表!$E$61:$E$71,monster!E567+1),2)</f>
        <v>2.27</v>
      </c>
      <c r="J567" s="15">
        <f>INDEX(卡牌图鉴!$J$2:$J$53,MATCH(monster!C567,卡牌图鉴!$C$2:$C$53,0))</f>
        <v>9</v>
      </c>
      <c r="K567" s="15">
        <f>INDEX(卡牌图鉴!$S$2:$S$53,MATCH(monster!C567,卡牌图鉴!$C$2:$C$53,0))</f>
        <v>5</v>
      </c>
      <c r="L567" s="15">
        <f>INDEX(卡牌图鉴!$H$2:$H$53,MATCH(monster!C567,卡牌图鉴!$C$2:$C$53,0))</f>
        <v>1.4</v>
      </c>
      <c r="M567" s="15">
        <f>INDEX(卡牌图鉴!$L$2:$L$53,MATCH(monster!C567,卡牌图鉴!$C$2:$C$53,0))</f>
        <v>4</v>
      </c>
      <c r="N567" s="15">
        <f>INDEX(卡牌图鉴!$AD$2:$AD$53,MATCH(monster!C567,卡牌图鉴!$C$2:$C$53,0))</f>
        <v>12</v>
      </c>
      <c r="O567" s="78">
        <f>INDEX(卡牌图鉴!$K$2:$K$53,MATCH(monster!C567,卡牌图鉴!$C$2:$C$53,0))</f>
        <v>4</v>
      </c>
    </row>
    <row r="568" spans="1:15" x14ac:dyDescent="0.15">
      <c r="A568" s="31">
        <v>1566</v>
      </c>
      <c r="B568" s="31" t="s">
        <v>590</v>
      </c>
      <c r="C568" s="31">
        <v>1561</v>
      </c>
      <c r="D568" s="15">
        <f>INDEX(卡牌图鉴!$S$2:$S$53,MATCH(monster!C568,卡牌图鉴!$C$2:$C$53,0))</f>
        <v>5</v>
      </c>
      <c r="E568" s="31">
        <v>5</v>
      </c>
      <c r="F568" s="15">
        <f>INT(INDEX(卡牌图鉴!$AB$2:$AB$53,MATCH(monster!C568,卡牌图鉴!$C$2:$C$57,0)) * INDEX(数值规划表!$B$61:$B$71,monster!E568+1) * 血量调整)</f>
        <v>433</v>
      </c>
      <c r="G568" s="15">
        <f>ROUND(INDEX(卡牌图鉴!$AB$2:$AB$53,MATCH(monster!C568,卡牌图鉴!$C$2:$C$57,0)) * INDEX(数值规划表!$D$61:$D$71,monster!E568+1)*血量调整,2)</f>
        <v>13.01</v>
      </c>
      <c r="H568" s="15">
        <f>ROUND(INDEX(卡牌图鉴!$AA$2:$AA$53,MATCH(monster!C568,卡牌图鉴!$C$2:$C$53,0)) * INDEX(数值规划表!$C$61:$C$71,monster!E568+1),2)</f>
        <v>84.89</v>
      </c>
      <c r="I568" s="15">
        <f>ROUND(INDEX(卡牌图鉴!$AA$2:$AA$53,MATCH(monster!C568,卡牌图鉴!$C$2:$C$53,0)) * INDEX(数值规划表!$E$61:$E$71,monster!E568+1),2)</f>
        <v>2.5499999999999998</v>
      </c>
      <c r="J568" s="15">
        <f>INDEX(卡牌图鉴!$J$2:$J$53,MATCH(monster!C568,卡牌图鉴!$C$2:$C$53,0))</f>
        <v>9</v>
      </c>
      <c r="K568" s="15">
        <f>INDEX(卡牌图鉴!$S$2:$S$53,MATCH(monster!C568,卡牌图鉴!$C$2:$C$53,0))</f>
        <v>5</v>
      </c>
      <c r="L568" s="15">
        <f>INDEX(卡牌图鉴!$H$2:$H$53,MATCH(monster!C568,卡牌图鉴!$C$2:$C$53,0))</f>
        <v>1.4</v>
      </c>
      <c r="M568" s="15">
        <f>INDEX(卡牌图鉴!$L$2:$L$53,MATCH(monster!C568,卡牌图鉴!$C$2:$C$53,0))</f>
        <v>4</v>
      </c>
      <c r="N568" s="15">
        <f>INDEX(卡牌图鉴!$AD$2:$AD$53,MATCH(monster!C568,卡牌图鉴!$C$2:$C$53,0))</f>
        <v>12</v>
      </c>
      <c r="O568" s="78">
        <f>INDEX(卡牌图鉴!$K$2:$K$53,MATCH(monster!C568,卡牌图鉴!$C$2:$C$53,0))</f>
        <v>4</v>
      </c>
    </row>
    <row r="569" spans="1:15" x14ac:dyDescent="0.15">
      <c r="A569" s="31">
        <v>1567</v>
      </c>
      <c r="B569" s="31" t="s">
        <v>591</v>
      </c>
      <c r="C569" s="31">
        <v>1561</v>
      </c>
      <c r="D569" s="15">
        <f>INDEX(卡牌图鉴!$S$2:$S$53,MATCH(monster!C569,卡牌图鉴!$C$2:$C$53,0))</f>
        <v>5</v>
      </c>
      <c r="E569" s="31">
        <v>6</v>
      </c>
      <c r="F569" s="15">
        <f>INT(INDEX(卡牌图鉴!$AB$2:$AB$53,MATCH(monster!C569,卡牌图鉴!$C$2:$C$57,0)) * INDEX(数值规划表!$B$61:$B$71,monster!E569+1) * 血量调整)</f>
        <v>485</v>
      </c>
      <c r="G569" s="15">
        <f>ROUND(INDEX(卡牌图鉴!$AB$2:$AB$53,MATCH(monster!C569,卡牌图鉴!$C$2:$C$57,0)) * INDEX(数值规划表!$D$61:$D$71,monster!E569+1)*血量调整,2)</f>
        <v>14.57</v>
      </c>
      <c r="H569" s="15">
        <f>ROUND(INDEX(卡牌图鉴!$AA$2:$AA$53,MATCH(monster!C569,卡牌图鉴!$C$2:$C$53,0)) * INDEX(数值规划表!$C$61:$C$71,monster!E569+1),2)</f>
        <v>95.08</v>
      </c>
      <c r="I569" s="15">
        <f>ROUND(INDEX(卡牌图鉴!$AA$2:$AA$53,MATCH(monster!C569,卡牌图鉴!$C$2:$C$53,0)) * INDEX(数值规划表!$E$61:$E$71,monster!E569+1),2)</f>
        <v>2.85</v>
      </c>
      <c r="J569" s="15">
        <f>INDEX(卡牌图鉴!$J$2:$J$53,MATCH(monster!C569,卡牌图鉴!$C$2:$C$53,0))</f>
        <v>9</v>
      </c>
      <c r="K569" s="15">
        <f>INDEX(卡牌图鉴!$S$2:$S$53,MATCH(monster!C569,卡牌图鉴!$C$2:$C$53,0))</f>
        <v>5</v>
      </c>
      <c r="L569" s="15">
        <f>INDEX(卡牌图鉴!$H$2:$H$53,MATCH(monster!C569,卡牌图鉴!$C$2:$C$53,0))</f>
        <v>1.4</v>
      </c>
      <c r="M569" s="15">
        <f>INDEX(卡牌图鉴!$L$2:$L$53,MATCH(monster!C569,卡牌图鉴!$C$2:$C$53,0))</f>
        <v>4</v>
      </c>
      <c r="N569" s="15">
        <f>INDEX(卡牌图鉴!$AD$2:$AD$53,MATCH(monster!C569,卡牌图鉴!$C$2:$C$53,0))</f>
        <v>12</v>
      </c>
      <c r="O569" s="78">
        <f>INDEX(卡牌图鉴!$K$2:$K$53,MATCH(monster!C569,卡牌图鉴!$C$2:$C$53,0))</f>
        <v>4</v>
      </c>
    </row>
    <row r="570" spans="1:15" x14ac:dyDescent="0.15">
      <c r="A570" s="31">
        <v>1568</v>
      </c>
      <c r="B570" s="31" t="s">
        <v>592</v>
      </c>
      <c r="C570" s="31">
        <v>1561</v>
      </c>
      <c r="D570" s="15">
        <f>INDEX(卡牌图鉴!$S$2:$S$53,MATCH(monster!C570,卡牌图鉴!$C$2:$C$53,0))</f>
        <v>5</v>
      </c>
      <c r="E570" s="31">
        <v>7</v>
      </c>
      <c r="F570" s="15">
        <f>INT(INDEX(卡牌图鉴!$AB$2:$AB$53,MATCH(monster!C570,卡牌图鉴!$C$2:$C$57,0)) * INDEX(数值规划表!$B$61:$B$71,monster!E570+1) * 血量调整)</f>
        <v>543</v>
      </c>
      <c r="G570" s="15">
        <f>ROUND(INDEX(卡牌图鉴!$AB$2:$AB$53,MATCH(monster!C570,卡牌图鉴!$C$2:$C$57,0)) * INDEX(数值规划表!$D$61:$D$71,monster!E570+1)*血量调整,2)</f>
        <v>16.32</v>
      </c>
      <c r="H570" s="15">
        <f>ROUND(INDEX(卡牌图鉴!$AA$2:$AA$53,MATCH(monster!C570,卡牌图鉴!$C$2:$C$53,0)) * INDEX(数值规划表!$C$61:$C$71,monster!E570+1),2)</f>
        <v>106.49</v>
      </c>
      <c r="I570" s="15">
        <f>ROUND(INDEX(卡牌图鉴!$AA$2:$AA$53,MATCH(monster!C570,卡牌图鉴!$C$2:$C$53,0)) * INDEX(数值规划表!$E$61:$E$71,monster!E570+1),2)</f>
        <v>3.19</v>
      </c>
      <c r="J570" s="15">
        <f>INDEX(卡牌图鉴!$J$2:$J$53,MATCH(monster!C570,卡牌图鉴!$C$2:$C$53,0))</f>
        <v>9</v>
      </c>
      <c r="K570" s="15">
        <f>INDEX(卡牌图鉴!$S$2:$S$53,MATCH(monster!C570,卡牌图鉴!$C$2:$C$53,0))</f>
        <v>5</v>
      </c>
      <c r="L570" s="15">
        <f>INDEX(卡牌图鉴!$H$2:$H$53,MATCH(monster!C570,卡牌图鉴!$C$2:$C$53,0))</f>
        <v>1.4</v>
      </c>
      <c r="M570" s="15">
        <f>INDEX(卡牌图鉴!$L$2:$L$53,MATCH(monster!C570,卡牌图鉴!$C$2:$C$53,0))</f>
        <v>4</v>
      </c>
      <c r="N570" s="15">
        <f>INDEX(卡牌图鉴!$AD$2:$AD$53,MATCH(monster!C570,卡牌图鉴!$C$2:$C$53,0))</f>
        <v>12</v>
      </c>
      <c r="O570" s="78">
        <f>INDEX(卡牌图鉴!$K$2:$K$53,MATCH(monster!C570,卡牌图鉴!$C$2:$C$53,0))</f>
        <v>4</v>
      </c>
    </row>
    <row r="571" spans="1:15" x14ac:dyDescent="0.15">
      <c r="A571" s="31">
        <v>1569</v>
      </c>
      <c r="B571" s="31" t="s">
        <v>593</v>
      </c>
      <c r="C571" s="31">
        <v>1561</v>
      </c>
      <c r="D571" s="15">
        <f>INDEX(卡牌图鉴!$S$2:$S$53,MATCH(monster!C571,卡牌图鉴!$C$2:$C$53,0))</f>
        <v>5</v>
      </c>
      <c r="E571" s="31">
        <v>8</v>
      </c>
      <c r="F571" s="15">
        <f>INT(INDEX(卡牌图鉴!$AB$2:$AB$53,MATCH(monster!C571,卡牌图鉴!$C$2:$C$57,0)) * INDEX(数值规划表!$B$61:$B$71,monster!E571+1) * 血量调整)</f>
        <v>609</v>
      </c>
      <c r="G571" s="15">
        <f>ROUND(INDEX(卡牌图鉴!$AB$2:$AB$53,MATCH(monster!C571,卡牌图鉴!$C$2:$C$57,0)) * INDEX(数值规划表!$D$61:$D$71,monster!E571+1)*血量调整,2)</f>
        <v>18.27</v>
      </c>
      <c r="H571" s="15">
        <f>ROUND(INDEX(卡牌图鉴!$AA$2:$AA$53,MATCH(monster!C571,卡牌图鉴!$C$2:$C$53,0)) * INDEX(数值规划表!$C$61:$C$71,monster!E571+1),2)</f>
        <v>119.27</v>
      </c>
      <c r="I571" s="15">
        <f>ROUND(INDEX(卡牌图鉴!$AA$2:$AA$53,MATCH(monster!C571,卡牌图鉴!$C$2:$C$53,0)) * INDEX(数值规划表!$E$61:$E$71,monster!E571+1),2)</f>
        <v>3.58</v>
      </c>
      <c r="J571" s="15">
        <f>INDEX(卡牌图鉴!$J$2:$J$53,MATCH(monster!C571,卡牌图鉴!$C$2:$C$53,0))</f>
        <v>9</v>
      </c>
      <c r="K571" s="15">
        <f>INDEX(卡牌图鉴!$S$2:$S$53,MATCH(monster!C571,卡牌图鉴!$C$2:$C$53,0))</f>
        <v>5</v>
      </c>
      <c r="L571" s="15">
        <f>INDEX(卡牌图鉴!$H$2:$H$53,MATCH(monster!C571,卡牌图鉴!$C$2:$C$53,0))</f>
        <v>1.4</v>
      </c>
      <c r="M571" s="15">
        <f>INDEX(卡牌图鉴!$L$2:$L$53,MATCH(monster!C571,卡牌图鉴!$C$2:$C$53,0))</f>
        <v>4</v>
      </c>
      <c r="N571" s="15">
        <f>INDEX(卡牌图鉴!$AD$2:$AD$53,MATCH(monster!C571,卡牌图鉴!$C$2:$C$53,0))</f>
        <v>12</v>
      </c>
      <c r="O571" s="78">
        <f>INDEX(卡牌图鉴!$K$2:$K$53,MATCH(monster!C571,卡牌图鉴!$C$2:$C$53,0))</f>
        <v>4</v>
      </c>
    </row>
    <row r="572" spans="1:15" x14ac:dyDescent="0.15">
      <c r="A572" s="31">
        <v>1570</v>
      </c>
      <c r="B572" s="31" t="s">
        <v>594</v>
      </c>
      <c r="C572" s="31">
        <v>1561</v>
      </c>
      <c r="D572" s="15">
        <f>INDEX(卡牌图鉴!$S$2:$S$53,MATCH(monster!C572,卡牌图鉴!$C$2:$C$53,0))</f>
        <v>5</v>
      </c>
      <c r="E572" s="31">
        <v>9</v>
      </c>
      <c r="F572" s="15">
        <f>INT(INDEX(卡牌图鉴!$AB$2:$AB$53,MATCH(monster!C572,卡牌图鉴!$C$2:$C$57,0)) * INDEX(数值规划表!$B$61:$B$71,monster!E572+1) * 血量调整)</f>
        <v>682</v>
      </c>
      <c r="G572" s="15">
        <f>ROUND(INDEX(卡牌图鉴!$AB$2:$AB$53,MATCH(monster!C572,卡牌图鉴!$C$2:$C$57,0)) * INDEX(数值规划表!$D$61:$D$71,monster!E572+1)*血量调整,2)</f>
        <v>20.47</v>
      </c>
      <c r="H572" s="15">
        <f>ROUND(INDEX(卡牌图鉴!$AA$2:$AA$53,MATCH(monster!C572,卡牌图鉴!$C$2:$C$53,0)) * INDEX(数值规划表!$C$61:$C$71,monster!E572+1),2)</f>
        <v>133.58000000000001</v>
      </c>
      <c r="I572" s="15">
        <f>ROUND(INDEX(卡牌图鉴!$AA$2:$AA$53,MATCH(monster!C572,卡牌图鉴!$C$2:$C$53,0)) * INDEX(数值规划表!$E$61:$E$71,monster!E572+1),2)</f>
        <v>4.01</v>
      </c>
      <c r="J572" s="15">
        <f>INDEX(卡牌图鉴!$J$2:$J$53,MATCH(monster!C572,卡牌图鉴!$C$2:$C$53,0))</f>
        <v>9</v>
      </c>
      <c r="K572" s="15">
        <f>INDEX(卡牌图鉴!$S$2:$S$53,MATCH(monster!C572,卡牌图鉴!$C$2:$C$53,0))</f>
        <v>5</v>
      </c>
      <c r="L572" s="15">
        <f>INDEX(卡牌图鉴!$H$2:$H$53,MATCH(monster!C572,卡牌图鉴!$C$2:$C$53,0))</f>
        <v>1.4</v>
      </c>
      <c r="M572" s="15">
        <f>INDEX(卡牌图鉴!$L$2:$L$53,MATCH(monster!C572,卡牌图鉴!$C$2:$C$53,0))</f>
        <v>4</v>
      </c>
      <c r="N572" s="15">
        <f>INDEX(卡牌图鉴!$AD$2:$AD$53,MATCH(monster!C572,卡牌图鉴!$C$2:$C$53,0))</f>
        <v>12</v>
      </c>
      <c r="O572" s="78">
        <f>INDEX(卡牌图鉴!$K$2:$K$53,MATCH(monster!C572,卡牌图鉴!$C$2:$C$53,0))</f>
        <v>4</v>
      </c>
    </row>
    <row r="573" spans="1:15" x14ac:dyDescent="0.15">
      <c r="A573" s="31">
        <v>1571</v>
      </c>
      <c r="B573" s="31" t="s">
        <v>595</v>
      </c>
      <c r="C573" s="31">
        <v>1561</v>
      </c>
      <c r="D573" s="15">
        <f>INDEX(卡牌图鉴!$S$2:$S$53,MATCH(monster!C573,卡牌图鉴!$C$2:$C$53,0))</f>
        <v>5</v>
      </c>
      <c r="E573" s="31">
        <v>10</v>
      </c>
      <c r="F573" s="15">
        <f>INT(INDEX(卡牌图鉴!$AB$2:$AB$53,MATCH(monster!C573,卡牌图鉴!$C$2:$C$57,0)) * INDEX(数值规划表!$B$61:$B$71,monster!E573+1) * 血量调整)</f>
        <v>764</v>
      </c>
      <c r="G573" s="15">
        <f>ROUND(INDEX(卡牌图鉴!$AB$2:$AB$53,MATCH(monster!C573,卡牌图鉴!$C$2:$C$57,0)) * INDEX(数值规划表!$D$61:$D$71,monster!E573+1)*血量调整,2)</f>
        <v>22.92</v>
      </c>
      <c r="H573" s="15">
        <f>ROUND(INDEX(卡牌图鉴!$AA$2:$AA$53,MATCH(monster!C573,卡牌图鉴!$C$2:$C$53,0)) * INDEX(数值规划表!$C$61:$C$71,monster!E573+1),2)</f>
        <v>149.61000000000001</v>
      </c>
      <c r="I573" s="15">
        <f>ROUND(INDEX(卡牌图鉴!$AA$2:$AA$53,MATCH(monster!C573,卡牌图鉴!$C$2:$C$53,0)) * INDEX(数值规划表!$E$61:$E$71,monster!E573+1),2)</f>
        <v>4.49</v>
      </c>
      <c r="J573" s="15">
        <f>INDEX(卡牌图鉴!$J$2:$J$53,MATCH(monster!C573,卡牌图鉴!$C$2:$C$53,0))</f>
        <v>9</v>
      </c>
      <c r="K573" s="15">
        <f>INDEX(卡牌图鉴!$S$2:$S$53,MATCH(monster!C573,卡牌图鉴!$C$2:$C$53,0))</f>
        <v>5</v>
      </c>
      <c r="L573" s="15">
        <f>INDEX(卡牌图鉴!$H$2:$H$53,MATCH(monster!C573,卡牌图鉴!$C$2:$C$53,0))</f>
        <v>1.4</v>
      </c>
      <c r="M573" s="15">
        <f>INDEX(卡牌图鉴!$L$2:$L$53,MATCH(monster!C573,卡牌图鉴!$C$2:$C$53,0))</f>
        <v>4</v>
      </c>
      <c r="N573" s="15">
        <f>INDEX(卡牌图鉴!$AD$2:$AD$53,MATCH(monster!C573,卡牌图鉴!$C$2:$C$53,0))</f>
        <v>12</v>
      </c>
      <c r="O573" s="78">
        <f>INDEX(卡牌图鉴!$K$2:$K$53,MATCH(monster!C573,卡牌图鉴!$C$2:$C$53,0))</f>
        <v>4</v>
      </c>
    </row>
    <row r="574" spans="1:15" x14ac:dyDescent="0.15">
      <c r="A574" s="31">
        <v>1484</v>
      </c>
      <c r="B574" s="31" t="s">
        <v>1489</v>
      </c>
      <c r="C574" s="31">
        <v>1484</v>
      </c>
      <c r="D574" s="15">
        <f>INDEX(卡牌图鉴!$S$2:$S$53,MATCH(monster!C574,卡牌图鉴!$C$2:$C$53,0))</f>
        <v>1</v>
      </c>
      <c r="E574" s="31">
        <v>0</v>
      </c>
      <c r="F574" s="15">
        <f>INT(INDEX(卡牌图鉴!$AB$2:$AB$53,MATCH(monster!C574,卡牌图鉴!$C$2:$C$57,0)) * INDEX(数值规划表!$B$61:$B$71,monster!E574+1) * 血量调整)</f>
        <v>306</v>
      </c>
      <c r="G574" s="15">
        <f>ROUND(INDEX(卡牌图鉴!$AB$2:$AB$53,MATCH(monster!C574,卡牌图鉴!$C$2:$C$57,0)) * INDEX(数值规划表!$D$61:$D$71,monster!E574+1)*血量调整,2)</f>
        <v>9.1999999999999993</v>
      </c>
      <c r="H574" s="15">
        <f>ROUND(INDEX(卡牌图鉴!$AA$2:$AA$53,MATCH(monster!C574,卡牌图鉴!$C$2:$C$53,0)) * INDEX(数值规划表!$C$61:$C$71,monster!E574+1),2)</f>
        <v>30.07</v>
      </c>
      <c r="I574" s="15">
        <f>ROUND(INDEX(卡牌图鉴!$AA$2:$AA$53,MATCH(monster!C574,卡牌图鉴!$C$2:$C$53,0)) * INDEX(数值规划表!$E$61:$E$71,monster!E574+1),2)</f>
        <v>0.9</v>
      </c>
      <c r="J574" s="15">
        <f>INDEX(卡牌图鉴!$J$2:$J$53,MATCH(monster!C574,卡牌图鉴!$C$2:$C$53,0))</f>
        <v>1.2</v>
      </c>
      <c r="K574" s="15">
        <f>INDEX(卡牌图鉴!$S$2:$S$53,MATCH(monster!C574,卡牌图鉴!$C$2:$C$53,0))</f>
        <v>1</v>
      </c>
      <c r="L574" s="15">
        <f>INDEX(卡牌图鉴!$H$2:$H$53,MATCH(monster!C574,卡牌图鉴!$C$2:$C$53,0))</f>
        <v>1.4</v>
      </c>
      <c r="M574" s="15">
        <f>INDEX(卡牌图鉴!$L$2:$L$53,MATCH(monster!C574,卡牌图鉴!$C$2:$C$53,0))</f>
        <v>3</v>
      </c>
      <c r="N574" s="15">
        <f>INDEX(卡牌图鉴!$AD$2:$AD$53,MATCH(monster!C574,卡牌图鉴!$C$2:$C$53,0))</f>
        <v>8</v>
      </c>
      <c r="O574" s="78">
        <f>INDEX(卡牌图鉴!$K$2:$K$53,MATCH(monster!C574,卡牌图鉴!$C$2:$C$53,0))</f>
        <v>2</v>
      </c>
    </row>
    <row r="575" spans="1:15" x14ac:dyDescent="0.15">
      <c r="A575" s="31">
        <v>1485</v>
      </c>
      <c r="B575" s="31" t="s">
        <v>1490</v>
      </c>
      <c r="C575" s="31">
        <v>1484</v>
      </c>
      <c r="D575" s="15">
        <f>INDEX(卡牌图鉴!$S$2:$S$53,MATCH(monster!C575,卡牌图鉴!$C$2:$C$53,0))</f>
        <v>1</v>
      </c>
      <c r="E575" s="31">
        <v>1</v>
      </c>
      <c r="F575" s="15">
        <f>INT(INDEX(卡牌图鉴!$AB$2:$AB$53,MATCH(monster!C575,卡牌图鉴!$C$2:$C$57,0)) * INDEX(数值规划表!$B$61:$B$71,monster!E575+1) * 血量调整)</f>
        <v>343</v>
      </c>
      <c r="G575" s="15">
        <f>ROUND(INDEX(卡牌图鉴!$AB$2:$AB$53,MATCH(monster!C575,卡牌图鉴!$C$2:$C$57,0)) * INDEX(数值规划表!$D$61:$D$71,monster!E575+1)*血量调整,2)</f>
        <v>10.3</v>
      </c>
      <c r="H575" s="15">
        <f>ROUND(INDEX(卡牌图鉴!$AA$2:$AA$53,MATCH(monster!C575,卡牌图鉴!$C$2:$C$53,0)) * INDEX(数值规划表!$C$61:$C$71,monster!E575+1),2)</f>
        <v>33.68</v>
      </c>
      <c r="I575" s="15">
        <f>ROUND(INDEX(卡牌图鉴!$AA$2:$AA$53,MATCH(monster!C575,卡牌图鉴!$C$2:$C$53,0)) * INDEX(数值规划表!$E$61:$E$71,monster!E575+1),2)</f>
        <v>1.01</v>
      </c>
      <c r="J575" s="15">
        <f>INDEX(卡牌图鉴!$J$2:$J$53,MATCH(monster!C575,卡牌图鉴!$C$2:$C$53,0))</f>
        <v>1.2</v>
      </c>
      <c r="K575" s="15">
        <f>INDEX(卡牌图鉴!$S$2:$S$53,MATCH(monster!C575,卡牌图鉴!$C$2:$C$53,0))</f>
        <v>1</v>
      </c>
      <c r="L575" s="15">
        <f>INDEX(卡牌图鉴!$H$2:$H$53,MATCH(monster!C575,卡牌图鉴!$C$2:$C$53,0))</f>
        <v>1.4</v>
      </c>
      <c r="M575" s="15">
        <f>INDEX(卡牌图鉴!$L$2:$L$53,MATCH(monster!C575,卡牌图鉴!$C$2:$C$53,0))</f>
        <v>3</v>
      </c>
      <c r="N575" s="15">
        <f>INDEX(卡牌图鉴!$AD$2:$AD$53,MATCH(monster!C575,卡牌图鉴!$C$2:$C$53,0))</f>
        <v>8</v>
      </c>
      <c r="O575" s="78">
        <f>INDEX(卡牌图鉴!$K$2:$K$53,MATCH(monster!C575,卡牌图鉴!$C$2:$C$53,0))</f>
        <v>2</v>
      </c>
    </row>
    <row r="576" spans="1:15" x14ac:dyDescent="0.15">
      <c r="A576" s="31">
        <v>1486</v>
      </c>
      <c r="B576" s="31" t="s">
        <v>524</v>
      </c>
      <c r="C576" s="31">
        <v>1484</v>
      </c>
      <c r="D576" s="15">
        <f>INDEX(卡牌图鉴!$S$2:$S$53,MATCH(monster!C576,卡牌图鉴!$C$2:$C$53,0))</f>
        <v>1</v>
      </c>
      <c r="E576" s="31">
        <v>2</v>
      </c>
      <c r="F576" s="15">
        <f>INT(INDEX(卡牌图鉴!$AB$2:$AB$53,MATCH(monster!C576,卡牌图鉴!$C$2:$C$57,0)) * INDEX(数值规划表!$B$61:$B$71,monster!E576+1) * 血量调整)</f>
        <v>384</v>
      </c>
      <c r="G576" s="15">
        <f>ROUND(INDEX(卡牌图鉴!$AB$2:$AB$53,MATCH(monster!C576,卡牌图鉴!$C$2:$C$57,0)) * INDEX(数值规划表!$D$61:$D$71,monster!E576+1)*血量调整,2)</f>
        <v>11.54</v>
      </c>
      <c r="H576" s="15">
        <f>ROUND(INDEX(卡牌图鉴!$AA$2:$AA$53,MATCH(monster!C576,卡牌图鉴!$C$2:$C$53,0)) * INDEX(数值规划表!$C$61:$C$71,monster!E576+1),2)</f>
        <v>37.72</v>
      </c>
      <c r="I576" s="15">
        <f>ROUND(INDEX(卡牌图鉴!$AA$2:$AA$53,MATCH(monster!C576,卡牌图鉴!$C$2:$C$53,0)) * INDEX(数值规划表!$E$61:$E$71,monster!E576+1),2)</f>
        <v>1.1299999999999999</v>
      </c>
      <c r="J576" s="15">
        <f>INDEX(卡牌图鉴!$J$2:$J$53,MATCH(monster!C576,卡牌图鉴!$C$2:$C$53,0))</f>
        <v>1.2</v>
      </c>
      <c r="K576" s="15">
        <f>INDEX(卡牌图鉴!$S$2:$S$53,MATCH(monster!C576,卡牌图鉴!$C$2:$C$53,0))</f>
        <v>1</v>
      </c>
      <c r="L576" s="15">
        <f>INDEX(卡牌图鉴!$H$2:$H$53,MATCH(monster!C576,卡牌图鉴!$C$2:$C$53,0))</f>
        <v>1.4</v>
      </c>
      <c r="M576" s="15">
        <f>INDEX(卡牌图鉴!$L$2:$L$53,MATCH(monster!C576,卡牌图鉴!$C$2:$C$53,0))</f>
        <v>3</v>
      </c>
      <c r="N576" s="15">
        <f>INDEX(卡牌图鉴!$AD$2:$AD$53,MATCH(monster!C576,卡牌图鉴!$C$2:$C$53,0))</f>
        <v>8</v>
      </c>
      <c r="O576" s="78">
        <f>INDEX(卡牌图鉴!$K$2:$K$53,MATCH(monster!C576,卡牌图鉴!$C$2:$C$53,0))</f>
        <v>2</v>
      </c>
    </row>
    <row r="577" spans="1:15" x14ac:dyDescent="0.15">
      <c r="A577" s="31">
        <v>1487</v>
      </c>
      <c r="B577" s="31" t="s">
        <v>525</v>
      </c>
      <c r="C577" s="31">
        <v>1484</v>
      </c>
      <c r="D577" s="15">
        <f>INDEX(卡牌图鉴!$S$2:$S$53,MATCH(monster!C577,卡牌图鉴!$C$2:$C$53,0))</f>
        <v>1</v>
      </c>
      <c r="E577" s="31">
        <v>3</v>
      </c>
      <c r="F577" s="15">
        <f>INT(INDEX(卡牌图鉴!$AB$2:$AB$53,MATCH(monster!C577,卡牌图鉴!$C$2:$C$57,0)) * INDEX(数值规划表!$B$61:$B$71,monster!E577+1) * 血量调整)</f>
        <v>430</v>
      </c>
      <c r="G577" s="15">
        <f>ROUND(INDEX(卡牌图鉴!$AB$2:$AB$53,MATCH(monster!C577,卡牌图鉴!$C$2:$C$57,0)) * INDEX(数值规划表!$D$61:$D$71,monster!E577+1)*血量调整,2)</f>
        <v>12.93</v>
      </c>
      <c r="H577" s="15">
        <f>ROUND(INDEX(卡牌图鉴!$AA$2:$AA$53,MATCH(monster!C577,卡牌图鉴!$C$2:$C$53,0)) * INDEX(数值规划表!$C$61:$C$71,monster!E577+1),2)</f>
        <v>42.25</v>
      </c>
      <c r="I577" s="15">
        <f>ROUND(INDEX(卡牌图鉴!$AA$2:$AA$53,MATCH(monster!C577,卡牌图鉴!$C$2:$C$53,0)) * INDEX(数值规划表!$E$61:$E$71,monster!E577+1),2)</f>
        <v>1.27</v>
      </c>
      <c r="J577" s="15">
        <f>INDEX(卡牌图鉴!$J$2:$J$53,MATCH(monster!C577,卡牌图鉴!$C$2:$C$53,0))</f>
        <v>1.2</v>
      </c>
      <c r="K577" s="15">
        <f>INDEX(卡牌图鉴!$S$2:$S$53,MATCH(monster!C577,卡牌图鉴!$C$2:$C$53,0))</f>
        <v>1</v>
      </c>
      <c r="L577" s="15">
        <f>INDEX(卡牌图鉴!$H$2:$H$53,MATCH(monster!C577,卡牌图鉴!$C$2:$C$53,0))</f>
        <v>1.4</v>
      </c>
      <c r="M577" s="15">
        <f>INDEX(卡牌图鉴!$L$2:$L$53,MATCH(monster!C577,卡牌图鉴!$C$2:$C$53,0))</f>
        <v>3</v>
      </c>
      <c r="N577" s="15">
        <f>INDEX(卡牌图鉴!$AD$2:$AD$53,MATCH(monster!C577,卡牌图鉴!$C$2:$C$53,0))</f>
        <v>8</v>
      </c>
      <c r="O577" s="78">
        <f>INDEX(卡牌图鉴!$K$2:$K$53,MATCH(monster!C577,卡牌图鉴!$C$2:$C$53,0))</f>
        <v>2</v>
      </c>
    </row>
    <row r="578" spans="1:15" x14ac:dyDescent="0.15">
      <c r="A578" s="31">
        <v>1488</v>
      </c>
      <c r="B578" s="31" t="s">
        <v>526</v>
      </c>
      <c r="C578" s="31">
        <v>1484</v>
      </c>
      <c r="D578" s="15">
        <f>INDEX(卡牌图鉴!$S$2:$S$53,MATCH(monster!C578,卡牌图鉴!$C$2:$C$53,0))</f>
        <v>1</v>
      </c>
      <c r="E578" s="31">
        <v>4</v>
      </c>
      <c r="F578" s="15">
        <f>INT(INDEX(卡牌图鉴!$AB$2:$AB$53,MATCH(monster!C578,卡牌图鉴!$C$2:$C$57,0)) * INDEX(数值规划表!$B$61:$B$71,monster!E578+1) * 血量调整)</f>
        <v>482</v>
      </c>
      <c r="G578" s="15">
        <f>ROUND(INDEX(卡牌图鉴!$AB$2:$AB$53,MATCH(monster!C578,卡牌图鉴!$C$2:$C$57,0)) * INDEX(数值规划表!$D$61:$D$71,monster!E578+1)*血量调整,2)</f>
        <v>14.48</v>
      </c>
      <c r="H578" s="15">
        <f>ROUND(INDEX(卡牌图鉴!$AA$2:$AA$53,MATCH(monster!C578,卡牌图鉴!$C$2:$C$53,0)) * INDEX(数值规划表!$C$61:$C$71,monster!E578+1),2)</f>
        <v>47.32</v>
      </c>
      <c r="I578" s="15">
        <f>ROUND(INDEX(卡牌图鉴!$AA$2:$AA$53,MATCH(monster!C578,卡牌图鉴!$C$2:$C$53,0)) * INDEX(数值规划表!$E$61:$E$71,monster!E578+1),2)</f>
        <v>1.42</v>
      </c>
      <c r="J578" s="15">
        <f>INDEX(卡牌图鉴!$J$2:$J$53,MATCH(monster!C578,卡牌图鉴!$C$2:$C$53,0))</f>
        <v>1.2</v>
      </c>
      <c r="K578" s="15">
        <f>INDEX(卡牌图鉴!$S$2:$S$53,MATCH(monster!C578,卡牌图鉴!$C$2:$C$53,0))</f>
        <v>1</v>
      </c>
      <c r="L578" s="15">
        <f>INDEX(卡牌图鉴!$H$2:$H$53,MATCH(monster!C578,卡牌图鉴!$C$2:$C$53,0))</f>
        <v>1.4</v>
      </c>
      <c r="M578" s="15">
        <f>INDEX(卡牌图鉴!$L$2:$L$53,MATCH(monster!C578,卡牌图鉴!$C$2:$C$53,0))</f>
        <v>3</v>
      </c>
      <c r="N578" s="15">
        <f>INDEX(卡牌图鉴!$AD$2:$AD$53,MATCH(monster!C578,卡牌图鉴!$C$2:$C$53,0))</f>
        <v>8</v>
      </c>
      <c r="O578" s="78">
        <f>INDEX(卡牌图鉴!$K$2:$K$53,MATCH(monster!C578,卡牌图鉴!$C$2:$C$53,0))</f>
        <v>2</v>
      </c>
    </row>
    <row r="579" spans="1:15" x14ac:dyDescent="0.15">
      <c r="A579" s="31">
        <v>1489</v>
      </c>
      <c r="B579" s="31" t="s">
        <v>527</v>
      </c>
      <c r="C579" s="31">
        <v>1484</v>
      </c>
      <c r="D579" s="15">
        <f>INDEX(卡牌图鉴!$S$2:$S$53,MATCH(monster!C579,卡牌图鉴!$C$2:$C$53,0))</f>
        <v>1</v>
      </c>
      <c r="E579" s="31">
        <v>5</v>
      </c>
      <c r="F579" s="15">
        <f>INT(INDEX(卡牌图鉴!$AB$2:$AB$53,MATCH(monster!C579,卡牌图鉴!$C$2:$C$57,0)) * INDEX(数值规划表!$B$61:$B$71,monster!E579+1) * 血量调整)</f>
        <v>540</v>
      </c>
      <c r="G579" s="15">
        <f>ROUND(INDEX(卡牌图鉴!$AB$2:$AB$53,MATCH(monster!C579,卡牌图鉴!$C$2:$C$57,0)) * INDEX(数值规划表!$D$61:$D$71,monster!E579+1)*血量调整,2)</f>
        <v>16.21</v>
      </c>
      <c r="H579" s="15">
        <f>ROUND(INDEX(卡牌图鉴!$AA$2:$AA$53,MATCH(monster!C579,卡牌图鉴!$C$2:$C$53,0)) * INDEX(数值规划表!$C$61:$C$71,monster!E579+1),2)</f>
        <v>52.99</v>
      </c>
      <c r="I579" s="15">
        <f>ROUND(INDEX(卡牌图鉴!$AA$2:$AA$53,MATCH(monster!C579,卡牌图鉴!$C$2:$C$53,0)) * INDEX(数值规划表!$E$61:$E$71,monster!E579+1),2)</f>
        <v>1.59</v>
      </c>
      <c r="J579" s="15">
        <f>INDEX(卡牌图鉴!$J$2:$J$53,MATCH(monster!C579,卡牌图鉴!$C$2:$C$53,0))</f>
        <v>1.2</v>
      </c>
      <c r="K579" s="15">
        <f>INDEX(卡牌图鉴!$S$2:$S$53,MATCH(monster!C579,卡牌图鉴!$C$2:$C$53,0))</f>
        <v>1</v>
      </c>
      <c r="L579" s="15">
        <f>INDEX(卡牌图鉴!$H$2:$H$53,MATCH(monster!C579,卡牌图鉴!$C$2:$C$53,0))</f>
        <v>1.4</v>
      </c>
      <c r="M579" s="15">
        <f>INDEX(卡牌图鉴!$L$2:$L$53,MATCH(monster!C579,卡牌图鉴!$C$2:$C$53,0))</f>
        <v>3</v>
      </c>
      <c r="N579" s="15">
        <f>INDEX(卡牌图鉴!$AD$2:$AD$53,MATCH(monster!C579,卡牌图鉴!$C$2:$C$53,0))</f>
        <v>8</v>
      </c>
      <c r="O579" s="78">
        <f>INDEX(卡牌图鉴!$K$2:$K$53,MATCH(monster!C579,卡牌图鉴!$C$2:$C$53,0))</f>
        <v>2</v>
      </c>
    </row>
    <row r="580" spans="1:15" x14ac:dyDescent="0.15">
      <c r="A580" s="31">
        <v>1490</v>
      </c>
      <c r="B580" s="31" t="s">
        <v>528</v>
      </c>
      <c r="C580" s="31">
        <v>1484</v>
      </c>
      <c r="D580" s="15">
        <f>INDEX(卡牌图鉴!$S$2:$S$53,MATCH(monster!C580,卡牌图鉴!$C$2:$C$53,0))</f>
        <v>1</v>
      </c>
      <c r="E580" s="31">
        <v>6</v>
      </c>
      <c r="F580" s="15">
        <f>INT(INDEX(卡牌图鉴!$AB$2:$AB$53,MATCH(monster!C580,卡牌图鉴!$C$2:$C$57,0)) * INDEX(数值规划表!$B$61:$B$71,monster!E580+1) * 血量调整)</f>
        <v>605</v>
      </c>
      <c r="G580" s="15">
        <f>ROUND(INDEX(卡牌图鉴!$AB$2:$AB$53,MATCH(monster!C580,卡牌图鉴!$C$2:$C$57,0)) * INDEX(数值规划表!$D$61:$D$71,monster!E580+1)*血量调整,2)</f>
        <v>18.16</v>
      </c>
      <c r="H580" s="15">
        <f>ROUND(INDEX(卡牌图鉴!$AA$2:$AA$53,MATCH(monster!C580,卡牌图鉴!$C$2:$C$53,0)) * INDEX(数值规划表!$C$61:$C$71,monster!E580+1),2)</f>
        <v>59.35</v>
      </c>
      <c r="I580" s="15">
        <f>ROUND(INDEX(卡牌图鉴!$AA$2:$AA$53,MATCH(monster!C580,卡牌图鉴!$C$2:$C$53,0)) * INDEX(数值规划表!$E$61:$E$71,monster!E580+1),2)</f>
        <v>1.78</v>
      </c>
      <c r="J580" s="15">
        <f>INDEX(卡牌图鉴!$J$2:$J$53,MATCH(monster!C580,卡牌图鉴!$C$2:$C$53,0))</f>
        <v>1.2</v>
      </c>
      <c r="K580" s="15">
        <f>INDEX(卡牌图鉴!$S$2:$S$53,MATCH(monster!C580,卡牌图鉴!$C$2:$C$53,0))</f>
        <v>1</v>
      </c>
      <c r="L580" s="15">
        <f>INDEX(卡牌图鉴!$H$2:$H$53,MATCH(monster!C580,卡牌图鉴!$C$2:$C$53,0))</f>
        <v>1.4</v>
      </c>
      <c r="M580" s="15">
        <f>INDEX(卡牌图鉴!$L$2:$L$53,MATCH(monster!C580,卡牌图鉴!$C$2:$C$53,0))</f>
        <v>3</v>
      </c>
      <c r="N580" s="15">
        <f>INDEX(卡牌图鉴!$AD$2:$AD$53,MATCH(monster!C580,卡牌图鉴!$C$2:$C$53,0))</f>
        <v>8</v>
      </c>
      <c r="O580" s="78">
        <f>INDEX(卡牌图鉴!$K$2:$K$53,MATCH(monster!C580,卡牌图鉴!$C$2:$C$53,0))</f>
        <v>2</v>
      </c>
    </row>
    <row r="581" spans="1:15" x14ac:dyDescent="0.15">
      <c r="A581" s="31">
        <v>1491</v>
      </c>
      <c r="B581" s="31" t="s">
        <v>529</v>
      </c>
      <c r="C581" s="31">
        <v>1484</v>
      </c>
      <c r="D581" s="15">
        <f>INDEX(卡牌图鉴!$S$2:$S$53,MATCH(monster!C581,卡牌图鉴!$C$2:$C$53,0))</f>
        <v>1</v>
      </c>
      <c r="E581" s="31">
        <v>7</v>
      </c>
      <c r="F581" s="15">
        <f>INT(INDEX(卡牌图鉴!$AB$2:$AB$53,MATCH(monster!C581,卡牌图鉴!$C$2:$C$57,0)) * INDEX(数值规划表!$B$61:$B$71,monster!E581+1) * 血量调整)</f>
        <v>677</v>
      </c>
      <c r="G581" s="15">
        <f>ROUND(INDEX(卡牌图鉴!$AB$2:$AB$53,MATCH(monster!C581,卡牌图鉴!$C$2:$C$57,0)) * INDEX(数值规划表!$D$61:$D$71,monster!E581+1)*血量调整,2)</f>
        <v>20.34</v>
      </c>
      <c r="H581" s="15">
        <f>ROUND(INDEX(卡牌图鉴!$AA$2:$AA$53,MATCH(monster!C581,卡牌图鉴!$C$2:$C$53,0)) * INDEX(数值规划表!$C$61:$C$71,monster!E581+1),2)</f>
        <v>66.48</v>
      </c>
      <c r="I581" s="15">
        <f>ROUND(INDEX(卡牌图鉴!$AA$2:$AA$53,MATCH(monster!C581,卡牌图鉴!$C$2:$C$53,0)) * INDEX(数值规划表!$E$61:$E$71,monster!E581+1),2)</f>
        <v>1.99</v>
      </c>
      <c r="J581" s="15">
        <f>INDEX(卡牌图鉴!$J$2:$J$53,MATCH(monster!C581,卡牌图鉴!$C$2:$C$53,0))</f>
        <v>1.2</v>
      </c>
      <c r="K581" s="15">
        <f>INDEX(卡牌图鉴!$S$2:$S$53,MATCH(monster!C581,卡牌图鉴!$C$2:$C$53,0))</f>
        <v>1</v>
      </c>
      <c r="L581" s="15">
        <f>INDEX(卡牌图鉴!$H$2:$H$53,MATCH(monster!C581,卡牌图鉴!$C$2:$C$53,0))</f>
        <v>1.4</v>
      </c>
      <c r="M581" s="15">
        <f>INDEX(卡牌图鉴!$L$2:$L$53,MATCH(monster!C581,卡牌图鉴!$C$2:$C$53,0))</f>
        <v>3</v>
      </c>
      <c r="N581" s="15">
        <f>INDEX(卡牌图鉴!$AD$2:$AD$53,MATCH(monster!C581,卡牌图鉴!$C$2:$C$53,0))</f>
        <v>8</v>
      </c>
      <c r="O581" s="78">
        <f>INDEX(卡牌图鉴!$K$2:$K$53,MATCH(monster!C581,卡牌图鉴!$C$2:$C$53,0))</f>
        <v>2</v>
      </c>
    </row>
    <row r="582" spans="1:15" x14ac:dyDescent="0.15">
      <c r="A582" s="31">
        <v>1492</v>
      </c>
      <c r="B582" s="31" t="s">
        <v>530</v>
      </c>
      <c r="C582" s="31">
        <v>1484</v>
      </c>
      <c r="D582" s="15">
        <f>INDEX(卡牌图鉴!$S$2:$S$53,MATCH(monster!C582,卡牌图鉴!$C$2:$C$53,0))</f>
        <v>1</v>
      </c>
      <c r="E582" s="31">
        <v>8</v>
      </c>
      <c r="F582" s="15">
        <f>INT(INDEX(卡牌图鉴!$AB$2:$AB$53,MATCH(monster!C582,卡牌图鉴!$C$2:$C$57,0)) * INDEX(数值规划表!$B$61:$B$71,monster!E582+1) * 血量调整)</f>
        <v>759</v>
      </c>
      <c r="G582" s="15">
        <f>ROUND(INDEX(卡牌图鉴!$AB$2:$AB$53,MATCH(monster!C582,卡牌图鉴!$C$2:$C$57,0)) * INDEX(数值规划表!$D$61:$D$71,monster!E582+1)*血量调整,2)</f>
        <v>22.78</v>
      </c>
      <c r="H582" s="15">
        <f>ROUND(INDEX(卡牌图鉴!$AA$2:$AA$53,MATCH(monster!C582,卡牌图鉴!$C$2:$C$53,0)) * INDEX(数值规划表!$C$61:$C$71,monster!E582+1),2)</f>
        <v>74.45</v>
      </c>
      <c r="I582" s="15">
        <f>ROUND(INDEX(卡牌图鉴!$AA$2:$AA$53,MATCH(monster!C582,卡牌图鉴!$C$2:$C$53,0)) * INDEX(数值规划表!$E$61:$E$71,monster!E582+1),2)</f>
        <v>2.23</v>
      </c>
      <c r="J582" s="15">
        <f>INDEX(卡牌图鉴!$J$2:$J$53,MATCH(monster!C582,卡牌图鉴!$C$2:$C$53,0))</f>
        <v>1.2</v>
      </c>
      <c r="K582" s="15">
        <f>INDEX(卡牌图鉴!$S$2:$S$53,MATCH(monster!C582,卡牌图鉴!$C$2:$C$53,0))</f>
        <v>1</v>
      </c>
      <c r="L582" s="15">
        <f>INDEX(卡牌图鉴!$H$2:$H$53,MATCH(monster!C582,卡牌图鉴!$C$2:$C$53,0))</f>
        <v>1.4</v>
      </c>
      <c r="M582" s="15">
        <f>INDEX(卡牌图鉴!$L$2:$L$53,MATCH(monster!C582,卡牌图鉴!$C$2:$C$53,0))</f>
        <v>3</v>
      </c>
      <c r="N582" s="15">
        <f>INDEX(卡牌图鉴!$AD$2:$AD$53,MATCH(monster!C582,卡牌图鉴!$C$2:$C$53,0))</f>
        <v>8</v>
      </c>
      <c r="O582" s="78">
        <f>INDEX(卡牌图鉴!$K$2:$K$53,MATCH(monster!C582,卡牌图鉴!$C$2:$C$53,0))</f>
        <v>2</v>
      </c>
    </row>
    <row r="583" spans="1:15" x14ac:dyDescent="0.15">
      <c r="A583" s="31">
        <v>1493</v>
      </c>
      <c r="B583" s="31" t="s">
        <v>531</v>
      </c>
      <c r="C583" s="31">
        <v>1484</v>
      </c>
      <c r="D583" s="15">
        <f>INDEX(卡牌图鉴!$S$2:$S$53,MATCH(monster!C583,卡牌图鉴!$C$2:$C$53,0))</f>
        <v>1</v>
      </c>
      <c r="E583" s="31">
        <v>9</v>
      </c>
      <c r="F583" s="15">
        <f>INT(INDEX(卡牌图鉴!$AB$2:$AB$53,MATCH(monster!C583,卡牌图鉴!$C$2:$C$57,0)) * INDEX(数值规划表!$B$61:$B$71,monster!E583+1) * 血量调整)</f>
        <v>850</v>
      </c>
      <c r="G583" s="15">
        <f>ROUND(INDEX(卡牌图鉴!$AB$2:$AB$53,MATCH(monster!C583,卡牌图鉴!$C$2:$C$57,0)) * INDEX(数值规划表!$D$61:$D$71,monster!E583+1)*血量调整,2)</f>
        <v>25.51</v>
      </c>
      <c r="H583" s="15">
        <f>ROUND(INDEX(卡牌图鉴!$AA$2:$AA$53,MATCH(monster!C583,卡牌图鉴!$C$2:$C$53,0)) * INDEX(数值规划表!$C$61:$C$71,monster!E583+1),2)</f>
        <v>83.39</v>
      </c>
      <c r="I583" s="15">
        <f>ROUND(INDEX(卡牌图鉴!$AA$2:$AA$53,MATCH(monster!C583,卡牌图鉴!$C$2:$C$53,0)) * INDEX(数值规划表!$E$61:$E$71,monster!E583+1),2)</f>
        <v>2.5</v>
      </c>
      <c r="J583" s="15">
        <f>INDEX(卡牌图鉴!$J$2:$J$53,MATCH(monster!C583,卡牌图鉴!$C$2:$C$53,0))</f>
        <v>1.2</v>
      </c>
      <c r="K583" s="15">
        <f>INDEX(卡牌图鉴!$S$2:$S$53,MATCH(monster!C583,卡牌图鉴!$C$2:$C$53,0))</f>
        <v>1</v>
      </c>
      <c r="L583" s="15">
        <f>INDEX(卡牌图鉴!$H$2:$H$53,MATCH(monster!C583,卡牌图鉴!$C$2:$C$53,0))</f>
        <v>1.4</v>
      </c>
      <c r="M583" s="15">
        <f>INDEX(卡牌图鉴!$L$2:$L$53,MATCH(monster!C583,卡牌图鉴!$C$2:$C$53,0))</f>
        <v>3</v>
      </c>
      <c r="N583" s="15">
        <f>INDEX(卡牌图鉴!$AD$2:$AD$53,MATCH(monster!C583,卡牌图鉴!$C$2:$C$53,0))</f>
        <v>8</v>
      </c>
      <c r="O583" s="78">
        <f>INDEX(卡牌图鉴!$K$2:$K$53,MATCH(monster!C583,卡牌图鉴!$C$2:$C$53,0))</f>
        <v>2</v>
      </c>
    </row>
    <row r="584" spans="1:15" x14ac:dyDescent="0.15">
      <c r="A584" s="31">
        <v>1494</v>
      </c>
      <c r="B584" s="31" t="s">
        <v>532</v>
      </c>
      <c r="C584" s="31">
        <v>1484</v>
      </c>
      <c r="D584" s="15">
        <f>INDEX(卡牌图鉴!$S$2:$S$53,MATCH(monster!C584,卡牌图鉴!$C$2:$C$53,0))</f>
        <v>1</v>
      </c>
      <c r="E584" s="31">
        <v>10</v>
      </c>
      <c r="F584" s="15">
        <f>INT(INDEX(卡牌图鉴!$AB$2:$AB$53,MATCH(monster!C584,卡牌图鉴!$C$2:$C$57,0)) * INDEX(数值规划表!$B$61:$B$71,monster!E584+1) * 血量调整)</f>
        <v>952</v>
      </c>
      <c r="G584" s="15">
        <f>ROUND(INDEX(卡牌图鉴!$AB$2:$AB$53,MATCH(monster!C584,卡牌图鉴!$C$2:$C$57,0)) * INDEX(数值规划表!$D$61:$D$71,monster!E584+1)*血量调整,2)</f>
        <v>28.57</v>
      </c>
      <c r="H584" s="15">
        <f>ROUND(INDEX(卡牌图鉴!$AA$2:$AA$53,MATCH(monster!C584,卡牌图鉴!$C$2:$C$53,0)) * INDEX(数值规划表!$C$61:$C$71,monster!E584+1),2)</f>
        <v>93.39</v>
      </c>
      <c r="I584" s="15">
        <f>ROUND(INDEX(卡牌图鉴!$AA$2:$AA$53,MATCH(monster!C584,卡牌图鉴!$C$2:$C$53,0)) * INDEX(数值规划表!$E$61:$E$71,monster!E584+1),2)</f>
        <v>2.8</v>
      </c>
      <c r="J584" s="15">
        <f>INDEX(卡牌图鉴!$J$2:$J$53,MATCH(monster!C584,卡牌图鉴!$C$2:$C$53,0))</f>
        <v>1.2</v>
      </c>
      <c r="K584" s="15">
        <f>INDEX(卡牌图鉴!$S$2:$S$53,MATCH(monster!C584,卡牌图鉴!$C$2:$C$53,0))</f>
        <v>1</v>
      </c>
      <c r="L584" s="15">
        <f>INDEX(卡牌图鉴!$H$2:$H$53,MATCH(monster!C584,卡牌图鉴!$C$2:$C$53,0))</f>
        <v>1.4</v>
      </c>
      <c r="M584" s="15">
        <f>INDEX(卡牌图鉴!$L$2:$L$53,MATCH(monster!C584,卡牌图鉴!$C$2:$C$53,0))</f>
        <v>3</v>
      </c>
      <c r="N584" s="15">
        <f>INDEX(卡牌图鉴!$AD$2:$AD$53,MATCH(monster!C584,卡牌图鉴!$C$2:$C$53,0))</f>
        <v>8</v>
      </c>
      <c r="O584" s="78">
        <f>INDEX(卡牌图鉴!$K$2:$K$53,MATCH(monster!C584,卡牌图鉴!$C$2:$C$53,0))</f>
        <v>2</v>
      </c>
    </row>
    <row r="585" spans="1:15" x14ac:dyDescent="0.15">
      <c r="A585" s="31">
        <v>2001</v>
      </c>
      <c r="B585" s="31" t="s">
        <v>1491</v>
      </c>
      <c r="C585" s="31">
        <v>1101</v>
      </c>
      <c r="D585" s="15">
        <v>0</v>
      </c>
      <c r="E585" s="31">
        <v>0</v>
      </c>
      <c r="F585" s="15">
        <f>INT(数值规划表!N61 * 血量调整)</f>
        <v>917</v>
      </c>
      <c r="G585" s="15">
        <f>ROUND(数值规划表!P61 * 血量调整,2)</f>
        <v>27</v>
      </c>
      <c r="H585" s="15">
        <f>数值规划表!O61</f>
        <v>47</v>
      </c>
      <c r="I585" s="15">
        <f>数值规划表!Q61</f>
        <v>1.43</v>
      </c>
      <c r="J585" s="15">
        <v>7</v>
      </c>
      <c r="K585" s="15">
        <v>5</v>
      </c>
      <c r="L585" s="15">
        <v>0</v>
      </c>
      <c r="M585" s="15">
        <v>0</v>
      </c>
      <c r="N585" s="15">
        <v>10</v>
      </c>
      <c r="O585" s="78">
        <v>10</v>
      </c>
    </row>
    <row r="586" spans="1:15" x14ac:dyDescent="0.15">
      <c r="A586" s="31">
        <v>2002</v>
      </c>
      <c r="B586" s="31" t="s">
        <v>1378</v>
      </c>
      <c r="C586" s="31">
        <v>1101</v>
      </c>
      <c r="D586" s="15">
        <v>0</v>
      </c>
      <c r="E586" s="31">
        <v>1</v>
      </c>
      <c r="F586" s="15">
        <f>INT(数值规划表!N62 * 血量调整)</f>
        <v>1027</v>
      </c>
      <c r="G586" s="15">
        <f>ROUND(数值规划表!P62 * 血量调整,2)</f>
        <v>30</v>
      </c>
      <c r="H586" s="15">
        <f>数值规划表!O62</f>
        <v>53</v>
      </c>
      <c r="I586" s="15">
        <f>数值规划表!Q62</f>
        <v>1.6</v>
      </c>
      <c r="J586" s="15">
        <v>7</v>
      </c>
      <c r="K586" s="15">
        <v>5</v>
      </c>
      <c r="L586" s="15">
        <v>0</v>
      </c>
      <c r="M586" s="15">
        <v>0</v>
      </c>
      <c r="N586" s="15">
        <v>10</v>
      </c>
      <c r="O586" s="78">
        <v>10</v>
      </c>
    </row>
    <row r="587" spans="1:15" x14ac:dyDescent="0.15">
      <c r="A587" s="31">
        <v>2003</v>
      </c>
      <c r="B587" s="31" t="s">
        <v>1379</v>
      </c>
      <c r="C587" s="31">
        <v>1101</v>
      </c>
      <c r="D587" s="15">
        <v>0</v>
      </c>
      <c r="E587" s="31">
        <v>2</v>
      </c>
      <c r="F587" s="15">
        <f>INT(数值规划表!N63 * 血量调整)</f>
        <v>1150</v>
      </c>
      <c r="G587" s="15">
        <f>ROUND(数值规划表!P63 * 血量调整,2)</f>
        <v>34</v>
      </c>
      <c r="H587" s="15">
        <f>数值规划表!O63</f>
        <v>59</v>
      </c>
      <c r="I587" s="15">
        <f>数值规划表!Q63</f>
        <v>1.8</v>
      </c>
      <c r="J587" s="15">
        <v>7</v>
      </c>
      <c r="K587" s="15">
        <v>5</v>
      </c>
      <c r="L587" s="15">
        <v>0</v>
      </c>
      <c r="M587" s="15">
        <v>0</v>
      </c>
      <c r="N587" s="15">
        <v>10</v>
      </c>
      <c r="O587" s="78">
        <v>10</v>
      </c>
    </row>
    <row r="588" spans="1:15" x14ac:dyDescent="0.15">
      <c r="A588" s="31">
        <v>2004</v>
      </c>
      <c r="B588" s="31" t="s">
        <v>1380</v>
      </c>
      <c r="C588" s="31">
        <v>1101</v>
      </c>
      <c r="D588" s="15">
        <v>0</v>
      </c>
      <c r="E588" s="31">
        <v>3</v>
      </c>
      <c r="F588" s="15">
        <f>INT(数值规划表!N64 * 血量调整)</f>
        <v>1288</v>
      </c>
      <c r="G588" s="15">
        <f>ROUND(数值规划表!P64 * 血量调整,2)</f>
        <v>38</v>
      </c>
      <c r="H588" s="15">
        <f>数值规划表!O64</f>
        <v>67</v>
      </c>
      <c r="I588" s="15">
        <f>数值规划表!Q64</f>
        <v>2.0099999999999998</v>
      </c>
      <c r="J588" s="15">
        <v>7</v>
      </c>
      <c r="K588" s="15">
        <v>5</v>
      </c>
      <c r="L588" s="15">
        <v>0</v>
      </c>
      <c r="M588" s="15">
        <v>0</v>
      </c>
      <c r="N588" s="15">
        <v>10</v>
      </c>
      <c r="O588" s="78">
        <v>10</v>
      </c>
    </row>
    <row r="589" spans="1:15" x14ac:dyDescent="0.15">
      <c r="A589" s="31">
        <v>2005</v>
      </c>
      <c r="B589" s="31" t="s">
        <v>1381</v>
      </c>
      <c r="C589" s="31">
        <v>1101</v>
      </c>
      <c r="D589" s="15">
        <v>0</v>
      </c>
      <c r="E589" s="31">
        <v>4</v>
      </c>
      <c r="F589" s="15">
        <f>INT(数值规划表!N65 * 血量调整)</f>
        <v>1443</v>
      </c>
      <c r="G589" s="15">
        <f>ROUND(数值规划表!P65 * 血量调整,2)</f>
        <v>43</v>
      </c>
      <c r="H589" s="15">
        <f>数值规划表!O65</f>
        <v>75</v>
      </c>
      <c r="I589" s="15">
        <f>数值规划表!Q65</f>
        <v>2.25</v>
      </c>
      <c r="J589" s="15">
        <v>7</v>
      </c>
      <c r="K589" s="15">
        <v>5</v>
      </c>
      <c r="L589" s="15">
        <v>0</v>
      </c>
      <c r="M589" s="15">
        <v>0</v>
      </c>
      <c r="N589" s="15">
        <v>10</v>
      </c>
      <c r="O589" s="78">
        <v>10</v>
      </c>
    </row>
    <row r="590" spans="1:15" x14ac:dyDescent="0.15">
      <c r="A590" s="31">
        <v>2006</v>
      </c>
      <c r="B590" s="31" t="s">
        <v>1382</v>
      </c>
      <c r="C590" s="31">
        <v>1101</v>
      </c>
      <c r="D590" s="15">
        <v>0</v>
      </c>
      <c r="E590" s="31">
        <v>5</v>
      </c>
      <c r="F590" s="15">
        <f>INT(数值规划表!N66 * 血量调整)</f>
        <v>1616</v>
      </c>
      <c r="G590" s="15">
        <f>ROUND(数值规划表!P66 * 血量调整,2)</f>
        <v>48</v>
      </c>
      <c r="H590" s="15">
        <f>数值规划表!O66</f>
        <v>84</v>
      </c>
      <c r="I590" s="15">
        <f>数值规划表!Q66</f>
        <v>2.52</v>
      </c>
      <c r="J590" s="15">
        <v>7</v>
      </c>
      <c r="K590" s="15">
        <v>5</v>
      </c>
      <c r="L590" s="15">
        <v>0</v>
      </c>
      <c r="M590" s="15">
        <v>0</v>
      </c>
      <c r="N590" s="15">
        <v>10</v>
      </c>
      <c r="O590" s="78">
        <v>10</v>
      </c>
    </row>
    <row r="591" spans="1:15" x14ac:dyDescent="0.15">
      <c r="A591" s="31">
        <v>2007</v>
      </c>
      <c r="B591" s="31" t="s">
        <v>1383</v>
      </c>
      <c r="C591" s="31">
        <v>1101</v>
      </c>
      <c r="D591" s="15">
        <v>0</v>
      </c>
      <c r="E591" s="31">
        <v>6</v>
      </c>
      <c r="F591" s="15">
        <f>INT(数值规划表!N67 * 血量调整)</f>
        <v>1810</v>
      </c>
      <c r="G591" s="15">
        <f>ROUND(数值规划表!P67 * 血量调整,2)</f>
        <v>54</v>
      </c>
      <c r="H591" s="15">
        <f>数值规划表!O67</f>
        <v>94</v>
      </c>
      <c r="I591" s="15">
        <f>数值规划表!Q67</f>
        <v>2.83</v>
      </c>
      <c r="J591" s="15">
        <v>7</v>
      </c>
      <c r="K591" s="15">
        <v>5</v>
      </c>
      <c r="L591" s="15">
        <v>0</v>
      </c>
      <c r="M591" s="15">
        <v>0</v>
      </c>
      <c r="N591" s="15">
        <v>10</v>
      </c>
      <c r="O591" s="78">
        <v>10</v>
      </c>
    </row>
    <row r="592" spans="1:15" x14ac:dyDescent="0.15">
      <c r="A592" s="31">
        <v>2008</v>
      </c>
      <c r="B592" s="31" t="s">
        <v>1384</v>
      </c>
      <c r="C592" s="31">
        <v>1101</v>
      </c>
      <c r="D592" s="15">
        <v>0</v>
      </c>
      <c r="E592" s="31">
        <v>7</v>
      </c>
      <c r="F592" s="15">
        <f>INT(数值规划表!N68 * 血量调整)</f>
        <v>2028</v>
      </c>
      <c r="G592" s="15">
        <f>ROUND(数值规划表!P68 * 血量调整,2)</f>
        <v>60</v>
      </c>
      <c r="H592" s="15">
        <f>数值规划表!O68</f>
        <v>105</v>
      </c>
      <c r="I592" s="15">
        <f>数值规划表!Q68</f>
        <v>3.17</v>
      </c>
      <c r="J592" s="15">
        <v>7</v>
      </c>
      <c r="K592" s="15">
        <v>5</v>
      </c>
      <c r="L592" s="15">
        <v>0</v>
      </c>
      <c r="M592" s="15">
        <v>0</v>
      </c>
      <c r="N592" s="15">
        <v>10</v>
      </c>
      <c r="O592" s="78">
        <v>10</v>
      </c>
    </row>
    <row r="593" spans="1:15" x14ac:dyDescent="0.15">
      <c r="A593" s="31">
        <v>2009</v>
      </c>
      <c r="B593" s="31" t="s">
        <v>1385</v>
      </c>
      <c r="C593" s="31">
        <v>1101</v>
      </c>
      <c r="D593" s="15">
        <v>0</v>
      </c>
      <c r="E593" s="31">
        <v>8</v>
      </c>
      <c r="F593" s="15">
        <f>INT(数值规划表!N69 * 血量调整)</f>
        <v>2271</v>
      </c>
      <c r="G593" s="15">
        <f>ROUND(数值规划表!P69 * 血量调整,2)</f>
        <v>68</v>
      </c>
      <c r="H593" s="15">
        <f>数值规划表!O69</f>
        <v>118</v>
      </c>
      <c r="I593" s="15">
        <f>数值规划表!Q69</f>
        <v>3.55</v>
      </c>
      <c r="J593" s="15">
        <v>7</v>
      </c>
      <c r="K593" s="15">
        <v>5</v>
      </c>
      <c r="L593" s="15">
        <v>0</v>
      </c>
      <c r="M593" s="15">
        <v>0</v>
      </c>
      <c r="N593" s="15">
        <v>10</v>
      </c>
      <c r="O593" s="78">
        <v>10</v>
      </c>
    </row>
    <row r="594" spans="1:15" x14ac:dyDescent="0.15">
      <c r="A594" s="31">
        <v>2010</v>
      </c>
      <c r="B594" s="31" t="s">
        <v>1386</v>
      </c>
      <c r="C594" s="31">
        <v>1101</v>
      </c>
      <c r="D594" s="15">
        <v>0</v>
      </c>
      <c r="E594" s="31">
        <v>9</v>
      </c>
      <c r="F594" s="15">
        <f>INT(数值规划表!N70 * 血量调整)</f>
        <v>2544</v>
      </c>
      <c r="G594" s="15">
        <f>ROUND(数值规划表!P70 * 血量调整,2)</f>
        <v>76</v>
      </c>
      <c r="H594" s="15">
        <f>数值规划表!O70</f>
        <v>132</v>
      </c>
      <c r="I594" s="15">
        <f>数值规划表!Q70</f>
        <v>3.97</v>
      </c>
      <c r="J594" s="15">
        <v>7</v>
      </c>
      <c r="K594" s="15">
        <v>5</v>
      </c>
      <c r="L594" s="15">
        <v>0</v>
      </c>
      <c r="M594" s="15">
        <v>0</v>
      </c>
      <c r="N594" s="15">
        <v>10</v>
      </c>
      <c r="O594" s="78">
        <v>10</v>
      </c>
    </row>
    <row r="595" spans="1:15" x14ac:dyDescent="0.15">
      <c r="A595" s="31">
        <v>2011</v>
      </c>
      <c r="B595" s="31" t="s">
        <v>1387</v>
      </c>
      <c r="C595" s="31">
        <v>1101</v>
      </c>
      <c r="D595" s="15">
        <v>0</v>
      </c>
      <c r="E595" s="31">
        <v>10</v>
      </c>
      <c r="F595" s="15">
        <f>INT(数值规划表!N71 * 血量调整)</f>
        <v>2849</v>
      </c>
      <c r="G595" s="15">
        <f>ROUND(数值规划表!P71 * 血量调整,2)</f>
        <v>85</v>
      </c>
      <c r="H595" s="15">
        <f>数值规划表!O71</f>
        <v>148</v>
      </c>
      <c r="I595" s="15">
        <f>数值规划表!Q71</f>
        <v>4.45</v>
      </c>
      <c r="J595" s="15">
        <v>7</v>
      </c>
      <c r="K595" s="15">
        <v>5</v>
      </c>
      <c r="L595" s="15">
        <v>0</v>
      </c>
      <c r="M595" s="15">
        <v>0</v>
      </c>
      <c r="N595" s="15">
        <v>10</v>
      </c>
      <c r="O595" s="78">
        <v>10</v>
      </c>
    </row>
    <row r="596" spans="1:15" x14ac:dyDescent="0.15">
      <c r="A596" s="31">
        <v>2012</v>
      </c>
      <c r="B596" s="31" t="s">
        <v>1492</v>
      </c>
      <c r="C596" s="31">
        <v>1102</v>
      </c>
      <c r="D596" s="15">
        <v>0</v>
      </c>
      <c r="E596" s="31">
        <v>0</v>
      </c>
      <c r="F596" s="15">
        <f>INT(数值规划表!S61 * 血量调整)</f>
        <v>974</v>
      </c>
      <c r="G596" s="15">
        <f>ROUND(数值规划表!U61 * 血量调整,2)</f>
        <v>29</v>
      </c>
      <c r="H596" s="15">
        <f>数值规划表!T61</f>
        <v>61</v>
      </c>
      <c r="I596" s="15">
        <f>数值规划表!V61</f>
        <v>1.97</v>
      </c>
      <c r="J596" s="15">
        <v>5</v>
      </c>
      <c r="K596" s="15">
        <v>5</v>
      </c>
      <c r="L596" s="15">
        <v>0</v>
      </c>
      <c r="M596" s="15">
        <v>0</v>
      </c>
      <c r="N596" s="15">
        <v>10</v>
      </c>
      <c r="O596" s="78">
        <v>10</v>
      </c>
    </row>
    <row r="597" spans="1:15" x14ac:dyDescent="0.15">
      <c r="A597" s="31">
        <v>2013</v>
      </c>
      <c r="B597" s="31" t="s">
        <v>1388</v>
      </c>
      <c r="C597" s="31">
        <v>1102</v>
      </c>
      <c r="D597" s="15">
        <v>0</v>
      </c>
      <c r="E597" s="31">
        <v>1</v>
      </c>
      <c r="F597" s="15">
        <f>INT(数值规划表!S62 * 血量调整)</f>
        <v>1091</v>
      </c>
      <c r="G597" s="15">
        <f>ROUND(数值规划表!U62 * 血量调整,2)</f>
        <v>32</v>
      </c>
      <c r="H597" s="15">
        <f>数值规划表!T62</f>
        <v>69</v>
      </c>
      <c r="I597" s="15">
        <f>数值规划表!V62</f>
        <v>2.21</v>
      </c>
      <c r="J597" s="15">
        <v>5</v>
      </c>
      <c r="K597" s="15">
        <v>5</v>
      </c>
      <c r="L597" s="15">
        <v>0</v>
      </c>
      <c r="M597" s="15">
        <v>0</v>
      </c>
      <c r="N597" s="15">
        <v>10</v>
      </c>
      <c r="O597" s="78">
        <v>10</v>
      </c>
    </row>
    <row r="598" spans="1:15" x14ac:dyDescent="0.15">
      <c r="A598" s="31">
        <v>2014</v>
      </c>
      <c r="B598" s="31" t="s">
        <v>1389</v>
      </c>
      <c r="C598" s="31">
        <v>1102</v>
      </c>
      <c r="D598" s="15">
        <v>0</v>
      </c>
      <c r="E598" s="31">
        <v>2</v>
      </c>
      <c r="F598" s="15">
        <f>INT(数值规划表!S63 * 血量调整)</f>
        <v>1222</v>
      </c>
      <c r="G598" s="15">
        <f>ROUND(数值规划表!U63 * 血量调整,2)</f>
        <v>36</v>
      </c>
      <c r="H598" s="15">
        <f>数值规划表!T63</f>
        <v>77</v>
      </c>
      <c r="I598" s="15">
        <f>数值规划表!V63</f>
        <v>2.4700000000000002</v>
      </c>
      <c r="J598" s="15">
        <v>5</v>
      </c>
      <c r="K598" s="15">
        <v>5</v>
      </c>
      <c r="L598" s="15">
        <v>0</v>
      </c>
      <c r="M598" s="15">
        <v>0</v>
      </c>
      <c r="N598" s="15">
        <v>10</v>
      </c>
      <c r="O598" s="78">
        <v>10</v>
      </c>
    </row>
    <row r="599" spans="1:15" x14ac:dyDescent="0.15">
      <c r="A599" s="31">
        <v>2015</v>
      </c>
      <c r="B599" s="31" t="s">
        <v>1390</v>
      </c>
      <c r="C599" s="31">
        <v>1102</v>
      </c>
      <c r="D599" s="15">
        <v>0</v>
      </c>
      <c r="E599" s="31">
        <v>3</v>
      </c>
      <c r="F599" s="15">
        <f>INT(数值规划表!S64 * 血量调整)</f>
        <v>1369</v>
      </c>
      <c r="G599" s="15">
        <f>ROUND(数值规划表!U64 * 血量调整,2)</f>
        <v>41</v>
      </c>
      <c r="H599" s="15">
        <f>数值规划表!T64</f>
        <v>86</v>
      </c>
      <c r="I599" s="15">
        <f>数值规划表!V64</f>
        <v>2.77</v>
      </c>
      <c r="J599" s="15">
        <v>5</v>
      </c>
      <c r="K599" s="15">
        <v>5</v>
      </c>
      <c r="L599" s="15">
        <v>0</v>
      </c>
      <c r="M599" s="15">
        <v>0</v>
      </c>
      <c r="N599" s="15">
        <v>10</v>
      </c>
      <c r="O599" s="78">
        <v>10</v>
      </c>
    </row>
    <row r="600" spans="1:15" x14ac:dyDescent="0.15">
      <c r="A600" s="31">
        <v>2016</v>
      </c>
      <c r="B600" s="31" t="s">
        <v>1391</v>
      </c>
      <c r="C600" s="31">
        <v>1102</v>
      </c>
      <c r="D600" s="15">
        <v>0</v>
      </c>
      <c r="E600" s="31">
        <v>4</v>
      </c>
      <c r="F600" s="15">
        <f>INT(数值规划表!S65 * 血量调整)</f>
        <v>1533</v>
      </c>
      <c r="G600" s="15">
        <f>ROUND(数值规划表!U65 * 血量调整,2)</f>
        <v>46</v>
      </c>
      <c r="H600" s="15">
        <f>数值规划表!T65</f>
        <v>97</v>
      </c>
      <c r="I600" s="15">
        <f>数值规划表!V65</f>
        <v>3.1</v>
      </c>
      <c r="J600" s="15">
        <v>5</v>
      </c>
      <c r="K600" s="15">
        <v>5</v>
      </c>
      <c r="L600" s="15">
        <v>0</v>
      </c>
      <c r="M600" s="15">
        <v>0</v>
      </c>
      <c r="N600" s="15">
        <v>10</v>
      </c>
      <c r="O600" s="78">
        <v>10</v>
      </c>
    </row>
    <row r="601" spans="1:15" x14ac:dyDescent="0.15">
      <c r="A601" s="31">
        <v>2017</v>
      </c>
      <c r="B601" s="31" t="s">
        <v>1392</v>
      </c>
      <c r="C601" s="31">
        <v>1102</v>
      </c>
      <c r="D601" s="15">
        <v>0</v>
      </c>
      <c r="E601" s="31">
        <v>5</v>
      </c>
      <c r="F601" s="15">
        <f>INT(数值规划表!S66 * 血量调整)</f>
        <v>1717</v>
      </c>
      <c r="G601" s="15">
        <f>ROUND(数值规划表!U66 * 血量调整,2)</f>
        <v>51</v>
      </c>
      <c r="H601" s="15">
        <f>数值规划表!T66</f>
        <v>108</v>
      </c>
      <c r="I601" s="15">
        <f>数值规划表!V66</f>
        <v>3.47</v>
      </c>
      <c r="J601" s="15">
        <v>5</v>
      </c>
      <c r="K601" s="15">
        <v>5</v>
      </c>
      <c r="L601" s="15">
        <v>0</v>
      </c>
      <c r="M601" s="15">
        <v>0</v>
      </c>
      <c r="N601" s="15">
        <v>10</v>
      </c>
      <c r="O601" s="78">
        <v>10</v>
      </c>
    </row>
    <row r="602" spans="1:15" x14ac:dyDescent="0.15">
      <c r="A602" s="31">
        <v>2018</v>
      </c>
      <c r="B602" s="31" t="s">
        <v>1393</v>
      </c>
      <c r="C602" s="31">
        <v>1102</v>
      </c>
      <c r="D602" s="15">
        <v>0</v>
      </c>
      <c r="E602" s="31">
        <v>6</v>
      </c>
      <c r="F602" s="15">
        <f>INT(数值规划表!S67 * 血量调整)</f>
        <v>1924</v>
      </c>
      <c r="G602" s="15">
        <f>ROUND(数值规划表!U67 * 血量调整,2)</f>
        <v>57</v>
      </c>
      <c r="H602" s="15">
        <f>数值规划表!T67</f>
        <v>121</v>
      </c>
      <c r="I602" s="15">
        <f>数值规划表!V67</f>
        <v>3.89</v>
      </c>
      <c r="J602" s="15">
        <v>5</v>
      </c>
      <c r="K602" s="15">
        <v>5</v>
      </c>
      <c r="L602" s="15">
        <v>0</v>
      </c>
      <c r="M602" s="15">
        <v>0</v>
      </c>
      <c r="N602" s="15">
        <v>10</v>
      </c>
      <c r="O602" s="78">
        <v>10</v>
      </c>
    </row>
    <row r="603" spans="1:15" x14ac:dyDescent="0.15">
      <c r="A603" s="31">
        <v>2019</v>
      </c>
      <c r="B603" s="31" t="s">
        <v>1394</v>
      </c>
      <c r="C603" s="31">
        <v>1102</v>
      </c>
      <c r="D603" s="15">
        <v>0</v>
      </c>
      <c r="E603" s="31">
        <v>7</v>
      </c>
      <c r="F603" s="15">
        <f>INT(数值规划表!S68 * 血量调整)</f>
        <v>2154</v>
      </c>
      <c r="G603" s="15">
        <f>ROUND(数值规划表!U68 * 血量调整,2)</f>
        <v>64</v>
      </c>
      <c r="H603" s="15">
        <f>数值规划表!T68</f>
        <v>136</v>
      </c>
      <c r="I603" s="15">
        <f>数值规划表!V68</f>
        <v>4.3499999999999996</v>
      </c>
      <c r="J603" s="15">
        <v>5</v>
      </c>
      <c r="K603" s="15">
        <v>5</v>
      </c>
      <c r="L603" s="15">
        <v>0</v>
      </c>
      <c r="M603" s="15">
        <v>0</v>
      </c>
      <c r="N603" s="15">
        <v>10</v>
      </c>
      <c r="O603" s="78">
        <v>10</v>
      </c>
    </row>
    <row r="604" spans="1:15" x14ac:dyDescent="0.15">
      <c r="A604" s="31">
        <v>2020</v>
      </c>
      <c r="B604" s="31" t="s">
        <v>1395</v>
      </c>
      <c r="C604" s="31">
        <v>1102</v>
      </c>
      <c r="D604" s="15">
        <v>0</v>
      </c>
      <c r="E604" s="31">
        <v>8</v>
      </c>
      <c r="F604" s="15">
        <f>INT(数值规划表!S69 * 血量调整)</f>
        <v>2413</v>
      </c>
      <c r="G604" s="15">
        <f>ROUND(数值规划表!U69 * 血量调整,2)</f>
        <v>72</v>
      </c>
      <c r="H604" s="15">
        <f>数值规划表!T69</f>
        <v>152</v>
      </c>
      <c r="I604" s="15">
        <f>数值规划表!V69</f>
        <v>4.88</v>
      </c>
      <c r="J604" s="15">
        <v>5</v>
      </c>
      <c r="K604" s="15">
        <v>5</v>
      </c>
      <c r="L604" s="15">
        <v>0</v>
      </c>
      <c r="M604" s="15">
        <v>0</v>
      </c>
      <c r="N604" s="15">
        <v>10</v>
      </c>
      <c r="O604" s="78">
        <v>10</v>
      </c>
    </row>
    <row r="605" spans="1:15" x14ac:dyDescent="0.15">
      <c r="A605" s="31">
        <v>2021</v>
      </c>
      <c r="B605" s="31" t="s">
        <v>1396</v>
      </c>
      <c r="C605" s="31">
        <v>1102</v>
      </c>
      <c r="D605" s="15">
        <v>0</v>
      </c>
      <c r="E605" s="31">
        <v>9</v>
      </c>
      <c r="F605" s="15">
        <f>INT(数值规划表!S70 * 血量调整)</f>
        <v>2703</v>
      </c>
      <c r="G605" s="15">
        <f>ROUND(数值规划表!U70 * 血量调整,2)</f>
        <v>81</v>
      </c>
      <c r="H605" s="15">
        <f>数值规划表!T70</f>
        <v>171</v>
      </c>
      <c r="I605" s="15">
        <f>数值规划表!V70</f>
        <v>5.46</v>
      </c>
      <c r="J605" s="15">
        <v>5</v>
      </c>
      <c r="K605" s="15">
        <v>5</v>
      </c>
      <c r="L605" s="15">
        <v>0</v>
      </c>
      <c r="M605" s="15">
        <v>0</v>
      </c>
      <c r="N605" s="15">
        <v>10</v>
      </c>
      <c r="O605" s="78">
        <v>10</v>
      </c>
    </row>
    <row r="606" spans="1:15" x14ac:dyDescent="0.15">
      <c r="A606" s="31">
        <v>2022</v>
      </c>
      <c r="B606" s="31" t="s">
        <v>1397</v>
      </c>
      <c r="C606" s="31">
        <v>1102</v>
      </c>
      <c r="D606" s="15">
        <v>0</v>
      </c>
      <c r="E606" s="31">
        <v>10</v>
      </c>
      <c r="F606" s="15">
        <f>INT(数值规划表!S71 * 血量调整)</f>
        <v>3027</v>
      </c>
      <c r="G606" s="15">
        <f>ROUND(数值规划表!U71 * 血量调整,2)</f>
        <v>90</v>
      </c>
      <c r="H606" s="15">
        <f>数值规划表!T71</f>
        <v>191</v>
      </c>
      <c r="I606" s="15">
        <f>数值规划表!V71</f>
        <v>6.12</v>
      </c>
      <c r="J606" s="15">
        <v>5</v>
      </c>
      <c r="K606" s="15">
        <v>5</v>
      </c>
      <c r="L606" s="15">
        <v>0</v>
      </c>
      <c r="M606" s="15">
        <v>0</v>
      </c>
      <c r="N606" s="15">
        <v>10</v>
      </c>
      <c r="O606" s="78">
        <v>10</v>
      </c>
    </row>
    <row r="607" spans="1:15" x14ac:dyDescent="0.15">
      <c r="A607" s="53">
        <v>2028</v>
      </c>
      <c r="B607" s="53" t="s">
        <v>2355</v>
      </c>
      <c r="C607" s="31">
        <v>1440</v>
      </c>
      <c r="D607" s="15">
        <f>INDEX(卡牌图鉴!$S$2:$S$53,MATCH(monster!C607,卡牌图鉴!$C$2:$C$53,0))</f>
        <v>4</v>
      </c>
      <c r="E607" s="31">
        <v>0</v>
      </c>
      <c r="F607" s="15">
        <f>INT(INDEX(卡牌图鉴!$AB$2:$AB$53,MATCH(monster!C607,卡牌图鉴!$C$2:$C$57,0)) * INDEX(数值规划表!$B$61:$B$71,monster!E607+1) * 血量调整)</f>
        <v>207</v>
      </c>
      <c r="G607" s="15">
        <f>ROUND(INDEX(卡牌图鉴!$AB$2:$AB$53,MATCH(monster!C607,卡牌图鉴!$C$2:$C$57,0)) * INDEX(数值规划表!$D$61:$D$71,monster!E607+1)*血量调整,2)</f>
        <v>6.21</v>
      </c>
      <c r="H607" s="15">
        <f>ROUND(INDEX(卡牌图鉴!$AA$2:$AA$53,MATCH(monster!C607,卡牌图鉴!$C$2:$C$53,0)) * INDEX(数值规划表!$C$61:$C$71,monster!E607+1),2)</f>
        <v>68.86</v>
      </c>
      <c r="I607" s="15">
        <f>ROUND(INDEX(卡牌图鉴!$AA$2:$AA$53,MATCH(monster!C607,卡牌图鉴!$C$2:$C$53,0)) * INDEX(数值规划表!$E$61:$E$71,monster!E607+1),2)</f>
        <v>2.0699999999999998</v>
      </c>
      <c r="J607" s="15">
        <f>INDEX(卡牌图鉴!$J$2:$J$53,MATCH(monster!C607,卡牌图鉴!$C$2:$C$53,0))</f>
        <v>5</v>
      </c>
      <c r="K607" s="15">
        <f>INDEX(卡牌图鉴!$S$2:$S$53,MATCH(monster!C607,卡牌图鉴!$C$2:$C$53,0))</f>
        <v>4</v>
      </c>
      <c r="L607" s="15">
        <f>INDEX(卡牌图鉴!$H$2:$H$53,MATCH(monster!C607,卡牌图鉴!$C$2:$C$53,0))</f>
        <v>0</v>
      </c>
      <c r="M607" s="15">
        <f>INDEX(卡牌图鉴!$L$2:$L$53,MATCH(monster!C607,卡牌图鉴!$C$2:$C$53,0))</f>
        <v>10</v>
      </c>
      <c r="N607" s="15">
        <f>INDEX(卡牌图鉴!$AD$2:$AD$53,MATCH(monster!C607,卡牌图鉴!$C$2:$C$53,0))</f>
        <v>8</v>
      </c>
      <c r="O607" s="78">
        <f>INDEX(卡牌图鉴!$K$2:$K$53,MATCH(monster!C607,卡牌图鉴!$C$2:$C$53,0))</f>
        <v>5</v>
      </c>
    </row>
    <row r="608" spans="1:15" x14ac:dyDescent="0.15">
      <c r="A608" s="53">
        <v>2029</v>
      </c>
      <c r="B608" s="53" t="s">
        <v>2356</v>
      </c>
      <c r="C608" s="31">
        <v>1440</v>
      </c>
      <c r="D608" s="15">
        <f>INDEX(卡牌图鉴!$S$2:$S$53,MATCH(monster!C608,卡牌图鉴!$C$2:$C$53,0))</f>
        <v>4</v>
      </c>
      <c r="E608" s="31">
        <v>1</v>
      </c>
      <c r="F608" s="15">
        <f>INT(INDEX(卡牌图鉴!$AB$2:$AB$53,MATCH(monster!C608,卡牌图鉴!$C$2:$C$57,0)) * INDEX(数值规划表!$B$61:$B$71,monster!E608+1) * 血量调整)</f>
        <v>231</v>
      </c>
      <c r="G608" s="15">
        <f>ROUND(INDEX(卡牌图鉴!$AB$2:$AB$53,MATCH(monster!C608,卡牌图鉴!$C$2:$C$57,0)) * INDEX(数值规划表!$D$61:$D$71,monster!E608+1)*血量调整,2)</f>
        <v>6.96</v>
      </c>
      <c r="H608" s="15">
        <f>ROUND(INDEX(卡牌图鉴!$AA$2:$AA$53,MATCH(monster!C608,卡牌图鉴!$C$2:$C$53,0)) * INDEX(数值规划表!$C$61:$C$71,monster!E608+1),2)</f>
        <v>77.12</v>
      </c>
      <c r="I608" s="15">
        <f>ROUND(INDEX(卡牌图鉴!$AA$2:$AA$53,MATCH(monster!C608,卡牌图鉴!$C$2:$C$53,0)) * INDEX(数值规划表!$E$61:$E$71,monster!E608+1),2)</f>
        <v>2.31</v>
      </c>
      <c r="J608" s="15">
        <f>INDEX(卡牌图鉴!$J$2:$J$53,MATCH(monster!C608,卡牌图鉴!$C$2:$C$53,0))</f>
        <v>5</v>
      </c>
      <c r="K608" s="15">
        <f>INDEX(卡牌图鉴!$S$2:$S$53,MATCH(monster!C608,卡牌图鉴!$C$2:$C$53,0))</f>
        <v>4</v>
      </c>
      <c r="L608" s="15">
        <f>INDEX(卡牌图鉴!$H$2:$H$53,MATCH(monster!C608,卡牌图鉴!$C$2:$C$53,0))</f>
        <v>0</v>
      </c>
      <c r="M608" s="15">
        <f>INDEX(卡牌图鉴!$L$2:$L$53,MATCH(monster!C608,卡牌图鉴!$C$2:$C$53,0))</f>
        <v>10</v>
      </c>
      <c r="N608" s="15">
        <f>INDEX(卡牌图鉴!$AD$2:$AD$53,MATCH(monster!C608,卡牌图鉴!$C$2:$C$53,0))</f>
        <v>8</v>
      </c>
      <c r="O608" s="78">
        <f>INDEX(卡牌图鉴!$K$2:$K$53,MATCH(monster!C608,卡牌图鉴!$C$2:$C$53,0))</f>
        <v>5</v>
      </c>
    </row>
    <row r="609" spans="1:15" x14ac:dyDescent="0.15">
      <c r="A609" s="53">
        <v>2030</v>
      </c>
      <c r="B609" s="53" t="s">
        <v>2357</v>
      </c>
      <c r="C609" s="31">
        <v>1440</v>
      </c>
      <c r="D609" s="15">
        <f>INDEX(卡牌图鉴!$S$2:$S$53,MATCH(monster!C609,卡牌图鉴!$C$2:$C$53,0))</f>
        <v>4</v>
      </c>
      <c r="E609" s="31">
        <v>2</v>
      </c>
      <c r="F609" s="15">
        <f>INT(INDEX(卡牌图鉴!$AB$2:$AB$53,MATCH(monster!C609,卡牌图鉴!$C$2:$C$57,0)) * INDEX(数值规划表!$B$61:$B$71,monster!E609+1) * 血量调整)</f>
        <v>259</v>
      </c>
      <c r="G609" s="15">
        <f>ROUND(INDEX(卡牌图鉴!$AB$2:$AB$53,MATCH(monster!C609,卡牌图鉴!$C$2:$C$57,0)) * INDEX(数值规划表!$D$61:$D$71,monster!E609+1)*血量调整,2)</f>
        <v>7.79</v>
      </c>
      <c r="H609" s="15">
        <f>ROUND(INDEX(卡牌图鉴!$AA$2:$AA$53,MATCH(monster!C609,卡牌图鉴!$C$2:$C$53,0)) * INDEX(数值规划表!$C$61:$C$71,monster!E609+1),2)</f>
        <v>86.38</v>
      </c>
      <c r="I609" s="15">
        <f>ROUND(INDEX(卡牌图鉴!$AA$2:$AA$53,MATCH(monster!C609,卡牌图鉴!$C$2:$C$53,0)) * INDEX(数值规划表!$E$61:$E$71,monster!E609+1),2)</f>
        <v>2.59</v>
      </c>
      <c r="J609" s="15">
        <f>INDEX(卡牌图鉴!$J$2:$J$53,MATCH(monster!C609,卡牌图鉴!$C$2:$C$53,0))</f>
        <v>5</v>
      </c>
      <c r="K609" s="15">
        <f>INDEX(卡牌图鉴!$S$2:$S$53,MATCH(monster!C609,卡牌图鉴!$C$2:$C$53,0))</f>
        <v>4</v>
      </c>
      <c r="L609" s="15">
        <f>INDEX(卡牌图鉴!$H$2:$H$53,MATCH(monster!C609,卡牌图鉴!$C$2:$C$53,0))</f>
        <v>0</v>
      </c>
      <c r="M609" s="15">
        <f>INDEX(卡牌图鉴!$L$2:$L$53,MATCH(monster!C609,卡牌图鉴!$C$2:$C$53,0))</f>
        <v>10</v>
      </c>
      <c r="N609" s="15">
        <f>INDEX(卡牌图鉴!$AD$2:$AD$53,MATCH(monster!C609,卡牌图鉴!$C$2:$C$53,0))</f>
        <v>8</v>
      </c>
      <c r="O609" s="78">
        <f>INDEX(卡牌图鉴!$K$2:$K$53,MATCH(monster!C609,卡牌图鉴!$C$2:$C$53,0))</f>
        <v>5</v>
      </c>
    </row>
    <row r="610" spans="1:15" x14ac:dyDescent="0.15">
      <c r="A610" s="53">
        <v>2031</v>
      </c>
      <c r="B610" s="53" t="s">
        <v>2358</v>
      </c>
      <c r="C610" s="31">
        <v>1440</v>
      </c>
      <c r="D610" s="15">
        <f>INDEX(卡牌图鉴!$S$2:$S$53,MATCH(monster!C610,卡牌图鉴!$C$2:$C$53,0))</f>
        <v>4</v>
      </c>
      <c r="E610" s="31">
        <v>3</v>
      </c>
      <c r="F610" s="15">
        <f>INT(INDEX(卡牌图鉴!$AB$2:$AB$53,MATCH(monster!C610,卡牌图鉴!$C$2:$C$57,0)) * INDEX(数值规划表!$B$61:$B$71,monster!E610+1) * 血量调整)</f>
        <v>290</v>
      </c>
      <c r="G610" s="15">
        <f>ROUND(INDEX(卡牌图鉴!$AB$2:$AB$53,MATCH(monster!C610,卡牌图鉴!$C$2:$C$57,0)) * INDEX(数值规划表!$D$61:$D$71,monster!E610+1)*血量调整,2)</f>
        <v>8.73</v>
      </c>
      <c r="H610" s="15">
        <f>ROUND(INDEX(卡牌图鉴!$AA$2:$AA$53,MATCH(monster!C610,卡牌图鉴!$C$2:$C$53,0)) * INDEX(数值规划表!$C$61:$C$71,monster!E610+1),2)</f>
        <v>96.74</v>
      </c>
      <c r="I610" s="15">
        <f>ROUND(INDEX(卡牌图鉴!$AA$2:$AA$53,MATCH(monster!C610,卡牌图鉴!$C$2:$C$53,0)) * INDEX(数值规划表!$E$61:$E$71,monster!E610+1),2)</f>
        <v>2.9</v>
      </c>
      <c r="J610" s="15">
        <f>INDEX(卡牌图鉴!$J$2:$J$53,MATCH(monster!C610,卡牌图鉴!$C$2:$C$53,0))</f>
        <v>5</v>
      </c>
      <c r="K610" s="15">
        <f>INDEX(卡牌图鉴!$S$2:$S$53,MATCH(monster!C610,卡牌图鉴!$C$2:$C$53,0))</f>
        <v>4</v>
      </c>
      <c r="L610" s="15">
        <f>INDEX(卡牌图鉴!$H$2:$H$53,MATCH(monster!C610,卡牌图鉴!$C$2:$C$53,0))</f>
        <v>0</v>
      </c>
      <c r="M610" s="15">
        <f>INDEX(卡牌图鉴!$L$2:$L$53,MATCH(monster!C610,卡牌图鉴!$C$2:$C$53,0))</f>
        <v>10</v>
      </c>
      <c r="N610" s="15">
        <f>INDEX(卡牌图鉴!$AD$2:$AD$53,MATCH(monster!C610,卡牌图鉴!$C$2:$C$53,0))</f>
        <v>8</v>
      </c>
      <c r="O610" s="78">
        <f>INDEX(卡牌图鉴!$K$2:$K$53,MATCH(monster!C610,卡牌图鉴!$C$2:$C$53,0))</f>
        <v>5</v>
      </c>
    </row>
    <row r="611" spans="1:15" x14ac:dyDescent="0.15">
      <c r="A611" s="53">
        <v>2032</v>
      </c>
      <c r="B611" s="53" t="s">
        <v>2359</v>
      </c>
      <c r="C611" s="31">
        <v>1440</v>
      </c>
      <c r="D611" s="15">
        <f>INDEX(卡牌图鉴!$S$2:$S$53,MATCH(monster!C611,卡牌图鉴!$C$2:$C$53,0))</f>
        <v>4</v>
      </c>
      <c r="E611" s="31">
        <v>4</v>
      </c>
      <c r="F611" s="15">
        <f>INT(INDEX(卡牌图鉴!$AB$2:$AB$53,MATCH(monster!C611,卡牌图鉴!$C$2:$C$57,0)) * INDEX(数值规划表!$B$61:$B$71,monster!E611+1) * 血量调整)</f>
        <v>325</v>
      </c>
      <c r="G611" s="15">
        <f>ROUND(INDEX(卡牌图鉴!$AB$2:$AB$53,MATCH(monster!C611,卡牌图鉴!$C$2:$C$57,0)) * INDEX(数值规划表!$D$61:$D$71,monster!E611+1)*血量调整,2)</f>
        <v>9.7799999999999994</v>
      </c>
      <c r="H611" s="15">
        <f>ROUND(INDEX(卡牌图鉴!$AA$2:$AA$53,MATCH(monster!C611,卡牌图鉴!$C$2:$C$53,0)) * INDEX(数值规划表!$C$61:$C$71,monster!E611+1),2)</f>
        <v>108.35</v>
      </c>
      <c r="I611" s="15">
        <f>ROUND(INDEX(卡牌图鉴!$AA$2:$AA$53,MATCH(monster!C611,卡牌图鉴!$C$2:$C$53,0)) * INDEX(数值规划表!$E$61:$E$71,monster!E611+1),2)</f>
        <v>3.25</v>
      </c>
      <c r="J611" s="15">
        <f>INDEX(卡牌图鉴!$J$2:$J$53,MATCH(monster!C611,卡牌图鉴!$C$2:$C$53,0))</f>
        <v>5</v>
      </c>
      <c r="K611" s="15">
        <f>INDEX(卡牌图鉴!$S$2:$S$53,MATCH(monster!C611,卡牌图鉴!$C$2:$C$53,0))</f>
        <v>4</v>
      </c>
      <c r="L611" s="15">
        <f>INDEX(卡牌图鉴!$H$2:$H$53,MATCH(monster!C611,卡牌图鉴!$C$2:$C$53,0))</f>
        <v>0</v>
      </c>
      <c r="M611" s="15">
        <f>INDEX(卡牌图鉴!$L$2:$L$53,MATCH(monster!C611,卡牌图鉴!$C$2:$C$53,0))</f>
        <v>10</v>
      </c>
      <c r="N611" s="15">
        <f>INDEX(卡牌图鉴!$AD$2:$AD$53,MATCH(monster!C611,卡牌图鉴!$C$2:$C$53,0))</f>
        <v>8</v>
      </c>
      <c r="O611" s="78">
        <f>INDEX(卡牌图鉴!$K$2:$K$53,MATCH(monster!C611,卡牌图鉴!$C$2:$C$53,0))</f>
        <v>5</v>
      </c>
    </row>
    <row r="612" spans="1:15" x14ac:dyDescent="0.15">
      <c r="A612" s="53">
        <v>2033</v>
      </c>
      <c r="B612" s="53" t="s">
        <v>2360</v>
      </c>
      <c r="C612" s="31">
        <v>1440</v>
      </c>
      <c r="D612" s="15">
        <f>INDEX(卡牌图鉴!$S$2:$S$53,MATCH(monster!C612,卡牌图鉴!$C$2:$C$53,0))</f>
        <v>4</v>
      </c>
      <c r="E612" s="31">
        <v>5</v>
      </c>
      <c r="F612" s="15">
        <f>INT(INDEX(卡牌图鉴!$AB$2:$AB$53,MATCH(monster!C612,卡牌图鉴!$C$2:$C$57,0)) * INDEX(数值规划表!$B$61:$B$71,monster!E612+1) * 血量调整)</f>
        <v>364</v>
      </c>
      <c r="G612" s="15">
        <f>ROUND(INDEX(卡牌图鉴!$AB$2:$AB$53,MATCH(monster!C612,卡牌图鉴!$C$2:$C$57,0)) * INDEX(数值规划表!$D$61:$D$71,monster!E612+1)*血量调整,2)</f>
        <v>10.95</v>
      </c>
      <c r="H612" s="15">
        <f>ROUND(INDEX(卡牌图鉴!$AA$2:$AA$53,MATCH(monster!C612,卡牌图鉴!$C$2:$C$53,0)) * INDEX(数值规划表!$C$61:$C$71,monster!E612+1),2)</f>
        <v>121.35</v>
      </c>
      <c r="I612" s="15">
        <f>ROUND(INDEX(卡牌图鉴!$AA$2:$AA$53,MATCH(monster!C612,卡牌图鉴!$C$2:$C$53,0)) * INDEX(数值规划表!$E$61:$E$71,monster!E612+1),2)</f>
        <v>3.64</v>
      </c>
      <c r="J612" s="15">
        <f>INDEX(卡牌图鉴!$J$2:$J$53,MATCH(monster!C612,卡牌图鉴!$C$2:$C$53,0))</f>
        <v>5</v>
      </c>
      <c r="K612" s="15">
        <f>INDEX(卡牌图鉴!$S$2:$S$53,MATCH(monster!C612,卡牌图鉴!$C$2:$C$53,0))</f>
        <v>4</v>
      </c>
      <c r="L612" s="15">
        <f>INDEX(卡牌图鉴!$H$2:$H$53,MATCH(monster!C612,卡牌图鉴!$C$2:$C$53,0))</f>
        <v>0</v>
      </c>
      <c r="M612" s="15">
        <f>INDEX(卡牌图鉴!$L$2:$L$53,MATCH(monster!C612,卡牌图鉴!$C$2:$C$53,0))</f>
        <v>10</v>
      </c>
      <c r="N612" s="15">
        <f>INDEX(卡牌图鉴!$AD$2:$AD$53,MATCH(monster!C612,卡牌图鉴!$C$2:$C$53,0))</f>
        <v>8</v>
      </c>
      <c r="O612" s="78">
        <f>INDEX(卡牌图鉴!$K$2:$K$53,MATCH(monster!C612,卡牌图鉴!$C$2:$C$53,0))</f>
        <v>5</v>
      </c>
    </row>
    <row r="613" spans="1:15" x14ac:dyDescent="0.15">
      <c r="A613" s="53">
        <v>2034</v>
      </c>
      <c r="B613" s="53" t="s">
        <v>2361</v>
      </c>
      <c r="C613" s="31">
        <v>1440</v>
      </c>
      <c r="D613" s="15">
        <f>INDEX(卡牌图鉴!$S$2:$S$53,MATCH(monster!C613,卡牌图鉴!$C$2:$C$53,0))</f>
        <v>4</v>
      </c>
      <c r="E613" s="31">
        <v>6</v>
      </c>
      <c r="F613" s="15">
        <f>INT(INDEX(卡牌图鉴!$AB$2:$AB$53,MATCH(monster!C613,卡牌图鉴!$C$2:$C$57,0)) * INDEX(数值规划表!$B$61:$B$71,monster!E613+1) * 血量调整)</f>
        <v>408</v>
      </c>
      <c r="G613" s="15">
        <f>ROUND(INDEX(卡牌图鉴!$AB$2:$AB$53,MATCH(monster!C613,卡牌图鉴!$C$2:$C$57,0)) * INDEX(数值规划表!$D$61:$D$71,monster!E613+1)*血量调整,2)</f>
        <v>12.26</v>
      </c>
      <c r="H613" s="15">
        <f>ROUND(INDEX(卡牌图鉴!$AA$2:$AA$53,MATCH(monster!C613,卡牌图鉴!$C$2:$C$53,0)) * INDEX(数值规划表!$C$61:$C$71,monster!E613+1),2)</f>
        <v>135.91999999999999</v>
      </c>
      <c r="I613" s="15">
        <f>ROUND(INDEX(卡牌图鉴!$AA$2:$AA$53,MATCH(monster!C613,卡牌图鉴!$C$2:$C$53,0)) * INDEX(数值规划表!$E$61:$E$71,monster!E613+1),2)</f>
        <v>4.08</v>
      </c>
      <c r="J613" s="15">
        <f>INDEX(卡牌图鉴!$J$2:$J$53,MATCH(monster!C613,卡牌图鉴!$C$2:$C$53,0))</f>
        <v>5</v>
      </c>
      <c r="K613" s="15">
        <f>INDEX(卡牌图鉴!$S$2:$S$53,MATCH(monster!C613,卡牌图鉴!$C$2:$C$53,0))</f>
        <v>4</v>
      </c>
      <c r="L613" s="15">
        <f>INDEX(卡牌图鉴!$H$2:$H$53,MATCH(monster!C613,卡牌图鉴!$C$2:$C$53,0))</f>
        <v>0</v>
      </c>
      <c r="M613" s="15">
        <f>INDEX(卡牌图鉴!$L$2:$L$53,MATCH(monster!C613,卡牌图鉴!$C$2:$C$53,0))</f>
        <v>10</v>
      </c>
      <c r="N613" s="15">
        <f>INDEX(卡牌图鉴!$AD$2:$AD$53,MATCH(monster!C613,卡牌图鉴!$C$2:$C$53,0))</f>
        <v>8</v>
      </c>
      <c r="O613" s="78">
        <f>INDEX(卡牌图鉴!$K$2:$K$53,MATCH(monster!C613,卡牌图鉴!$C$2:$C$53,0))</f>
        <v>5</v>
      </c>
    </row>
    <row r="614" spans="1:15" x14ac:dyDescent="0.15">
      <c r="A614" s="53">
        <v>2035</v>
      </c>
      <c r="B614" s="53" t="s">
        <v>2362</v>
      </c>
      <c r="C614" s="31">
        <v>1440</v>
      </c>
      <c r="D614" s="15">
        <f>INDEX(卡牌图鉴!$S$2:$S$53,MATCH(monster!C614,卡牌图鉴!$C$2:$C$53,0))</f>
        <v>4</v>
      </c>
      <c r="E614" s="31">
        <v>7</v>
      </c>
      <c r="F614" s="15">
        <f>INT(INDEX(卡牌图鉴!$AB$2:$AB$53,MATCH(monster!C614,卡牌图鉴!$C$2:$C$57,0)) * INDEX(数值规划表!$B$61:$B$71,monster!E614+1) * 血量调整)</f>
        <v>457</v>
      </c>
      <c r="G614" s="15">
        <f>ROUND(INDEX(卡牌图鉴!$AB$2:$AB$53,MATCH(monster!C614,卡牌图鉴!$C$2:$C$57,0)) * INDEX(数值规划表!$D$61:$D$71,monster!E614+1)*血量调整,2)</f>
        <v>13.73</v>
      </c>
      <c r="H614" s="15">
        <f>ROUND(INDEX(卡牌图鉴!$AA$2:$AA$53,MATCH(monster!C614,卡牌图鉴!$C$2:$C$53,0)) * INDEX(数值规划表!$C$61:$C$71,monster!E614+1),2)</f>
        <v>152.22999999999999</v>
      </c>
      <c r="I614" s="15">
        <f>ROUND(INDEX(卡牌图鉴!$AA$2:$AA$53,MATCH(monster!C614,卡牌图鉴!$C$2:$C$53,0)) * INDEX(数值规划表!$E$61:$E$71,monster!E614+1),2)</f>
        <v>4.57</v>
      </c>
      <c r="J614" s="15">
        <f>INDEX(卡牌图鉴!$J$2:$J$53,MATCH(monster!C614,卡牌图鉴!$C$2:$C$53,0))</f>
        <v>5</v>
      </c>
      <c r="K614" s="15">
        <f>INDEX(卡牌图鉴!$S$2:$S$53,MATCH(monster!C614,卡牌图鉴!$C$2:$C$53,0))</f>
        <v>4</v>
      </c>
      <c r="L614" s="15">
        <f>INDEX(卡牌图鉴!$H$2:$H$53,MATCH(monster!C614,卡牌图鉴!$C$2:$C$53,0))</f>
        <v>0</v>
      </c>
      <c r="M614" s="15">
        <f>INDEX(卡牌图鉴!$L$2:$L$53,MATCH(monster!C614,卡牌图鉴!$C$2:$C$53,0))</f>
        <v>10</v>
      </c>
      <c r="N614" s="15">
        <f>INDEX(卡牌图鉴!$AD$2:$AD$53,MATCH(monster!C614,卡牌图鉴!$C$2:$C$53,0))</f>
        <v>8</v>
      </c>
      <c r="O614" s="78">
        <f>INDEX(卡牌图鉴!$K$2:$K$53,MATCH(monster!C614,卡牌图鉴!$C$2:$C$53,0))</f>
        <v>5</v>
      </c>
    </row>
    <row r="615" spans="1:15" x14ac:dyDescent="0.15">
      <c r="A615" s="53">
        <v>2036</v>
      </c>
      <c r="B615" s="53" t="s">
        <v>2363</v>
      </c>
      <c r="C615" s="31">
        <v>1440</v>
      </c>
      <c r="D615" s="15">
        <f>INDEX(卡牌图鉴!$S$2:$S$53,MATCH(monster!C615,卡牌图鉴!$C$2:$C$53,0))</f>
        <v>4</v>
      </c>
      <c r="E615" s="31">
        <v>8</v>
      </c>
      <c r="F615" s="15">
        <f>INT(INDEX(卡牌图鉴!$AB$2:$AB$53,MATCH(monster!C615,卡牌图鉴!$C$2:$C$57,0)) * INDEX(数值规划表!$B$61:$B$71,monster!E615+1) * 血量调整)</f>
        <v>512</v>
      </c>
      <c r="G615" s="15">
        <f>ROUND(INDEX(卡牌图鉴!$AB$2:$AB$53,MATCH(monster!C615,卡牌图鉴!$C$2:$C$57,0)) * INDEX(数值规划表!$D$61:$D$71,monster!E615+1)*血量调整,2)</f>
        <v>15.38</v>
      </c>
      <c r="H615" s="15">
        <f>ROUND(INDEX(卡牌图鉴!$AA$2:$AA$53,MATCH(monster!C615,卡牌图鉴!$C$2:$C$53,0)) * INDEX(数值规划表!$C$61:$C$71,monster!E615+1),2)</f>
        <v>170.49</v>
      </c>
      <c r="I615" s="15">
        <f>ROUND(INDEX(卡牌图鉴!$AA$2:$AA$53,MATCH(monster!C615,卡牌图鉴!$C$2:$C$53,0)) * INDEX(数值规划表!$E$61:$E$71,monster!E615+1),2)</f>
        <v>5.1100000000000003</v>
      </c>
      <c r="J615" s="15">
        <f>INDEX(卡牌图鉴!$J$2:$J$53,MATCH(monster!C615,卡牌图鉴!$C$2:$C$53,0))</f>
        <v>5</v>
      </c>
      <c r="K615" s="15">
        <f>INDEX(卡牌图鉴!$S$2:$S$53,MATCH(monster!C615,卡牌图鉴!$C$2:$C$53,0))</f>
        <v>4</v>
      </c>
      <c r="L615" s="15">
        <f>INDEX(卡牌图鉴!$H$2:$H$53,MATCH(monster!C615,卡牌图鉴!$C$2:$C$53,0))</f>
        <v>0</v>
      </c>
      <c r="M615" s="15">
        <f>INDEX(卡牌图鉴!$L$2:$L$53,MATCH(monster!C615,卡牌图鉴!$C$2:$C$53,0))</f>
        <v>10</v>
      </c>
      <c r="N615" s="15">
        <f>INDEX(卡牌图鉴!$AD$2:$AD$53,MATCH(monster!C615,卡牌图鉴!$C$2:$C$53,0))</f>
        <v>8</v>
      </c>
      <c r="O615" s="78">
        <f>INDEX(卡牌图鉴!$K$2:$K$53,MATCH(monster!C615,卡牌图鉴!$C$2:$C$53,0))</f>
        <v>5</v>
      </c>
    </row>
    <row r="616" spans="1:15" x14ac:dyDescent="0.15">
      <c r="A616" s="53">
        <v>2037</v>
      </c>
      <c r="B616" s="53" t="s">
        <v>2364</v>
      </c>
      <c r="C616" s="31">
        <v>1440</v>
      </c>
      <c r="D616" s="15">
        <f>INDEX(卡牌图鉴!$S$2:$S$53,MATCH(monster!C616,卡牌图鉴!$C$2:$C$53,0))</f>
        <v>4</v>
      </c>
      <c r="E616" s="31">
        <v>9</v>
      </c>
      <c r="F616" s="15">
        <f>INT(INDEX(卡牌图鉴!$AB$2:$AB$53,MATCH(monster!C616,卡牌图鉴!$C$2:$C$57,0)) * INDEX(数值规划表!$B$61:$B$71,monster!E616+1) * 血量调整)</f>
        <v>574</v>
      </c>
      <c r="G616" s="15">
        <f>ROUND(INDEX(卡牌图鉴!$AB$2:$AB$53,MATCH(monster!C616,卡牌图鉴!$C$2:$C$57,0)) * INDEX(数值规划表!$D$61:$D$71,monster!E616+1)*血量调整,2)</f>
        <v>17.23</v>
      </c>
      <c r="H616" s="15">
        <f>ROUND(INDEX(卡牌图鉴!$AA$2:$AA$53,MATCH(monster!C616,卡牌图鉴!$C$2:$C$53,0)) * INDEX(数值规划表!$C$61:$C$71,monster!E616+1),2)</f>
        <v>190.95</v>
      </c>
      <c r="I616" s="15">
        <f>ROUND(INDEX(卡牌图鉴!$AA$2:$AA$53,MATCH(monster!C616,卡牌图鉴!$C$2:$C$53,0)) * INDEX(数值规划表!$E$61:$E$71,monster!E616+1),2)</f>
        <v>5.73</v>
      </c>
      <c r="J616" s="15">
        <f>INDEX(卡牌图鉴!$J$2:$J$53,MATCH(monster!C616,卡牌图鉴!$C$2:$C$53,0))</f>
        <v>5</v>
      </c>
      <c r="K616" s="15">
        <f>INDEX(卡牌图鉴!$S$2:$S$53,MATCH(monster!C616,卡牌图鉴!$C$2:$C$53,0))</f>
        <v>4</v>
      </c>
      <c r="L616" s="15">
        <f>INDEX(卡牌图鉴!$H$2:$H$53,MATCH(monster!C616,卡牌图鉴!$C$2:$C$53,0))</f>
        <v>0</v>
      </c>
      <c r="M616" s="15">
        <f>INDEX(卡牌图鉴!$L$2:$L$53,MATCH(monster!C616,卡牌图鉴!$C$2:$C$53,0))</f>
        <v>10</v>
      </c>
      <c r="N616" s="15">
        <f>INDEX(卡牌图鉴!$AD$2:$AD$53,MATCH(monster!C616,卡牌图鉴!$C$2:$C$53,0))</f>
        <v>8</v>
      </c>
      <c r="O616" s="78">
        <f>INDEX(卡牌图鉴!$K$2:$K$53,MATCH(monster!C616,卡牌图鉴!$C$2:$C$53,0))</f>
        <v>5</v>
      </c>
    </row>
    <row r="617" spans="1:15" x14ac:dyDescent="0.15">
      <c r="A617" s="53">
        <v>2038</v>
      </c>
      <c r="B617" s="53" t="s">
        <v>2365</v>
      </c>
      <c r="C617" s="31">
        <v>1440</v>
      </c>
      <c r="D617" s="15">
        <f>INDEX(卡牌图鉴!$S$2:$S$53,MATCH(monster!C617,卡牌图鉴!$C$2:$C$53,0))</f>
        <v>4</v>
      </c>
      <c r="E617" s="31">
        <v>10</v>
      </c>
      <c r="F617" s="15">
        <f>INT(INDEX(卡牌图鉴!$AB$2:$AB$53,MATCH(monster!C617,卡牌图鉴!$C$2:$C$57,0)) * INDEX(数值规划表!$B$61:$B$71,monster!E617+1) * 血量调整)</f>
        <v>643</v>
      </c>
      <c r="G617" s="15">
        <f>ROUND(INDEX(卡牌图鉴!$AB$2:$AB$53,MATCH(monster!C617,卡牌图鉴!$C$2:$C$57,0)) * INDEX(数值规划表!$D$61:$D$71,monster!E617+1)*血量调整,2)</f>
        <v>19.3</v>
      </c>
      <c r="H617" s="15">
        <f>ROUND(INDEX(卡牌图鉴!$AA$2:$AA$53,MATCH(monster!C617,卡牌图鉴!$C$2:$C$53,0)) * INDEX(数值规划表!$C$61:$C$71,monster!E617+1),2)</f>
        <v>213.87</v>
      </c>
      <c r="I617" s="15">
        <f>ROUND(INDEX(卡牌图鉴!$AA$2:$AA$53,MATCH(monster!C617,卡牌图鉴!$C$2:$C$53,0)) * INDEX(数值规划表!$E$61:$E$71,monster!E617+1),2)</f>
        <v>6.42</v>
      </c>
      <c r="J617" s="15">
        <f>INDEX(卡牌图鉴!$J$2:$J$53,MATCH(monster!C617,卡牌图鉴!$C$2:$C$53,0))</f>
        <v>5</v>
      </c>
      <c r="K617" s="15">
        <f>INDEX(卡牌图鉴!$S$2:$S$53,MATCH(monster!C617,卡牌图鉴!$C$2:$C$53,0))</f>
        <v>4</v>
      </c>
      <c r="L617" s="15">
        <f>INDEX(卡牌图鉴!$H$2:$H$53,MATCH(monster!C617,卡牌图鉴!$C$2:$C$53,0))</f>
        <v>0</v>
      </c>
      <c r="M617" s="15">
        <f>INDEX(卡牌图鉴!$L$2:$L$53,MATCH(monster!C617,卡牌图鉴!$C$2:$C$53,0))</f>
        <v>10</v>
      </c>
      <c r="N617" s="15">
        <f>INDEX(卡牌图鉴!$AD$2:$AD$53,MATCH(monster!C617,卡牌图鉴!$C$2:$C$53,0))</f>
        <v>8</v>
      </c>
      <c r="O617" s="78">
        <f>INDEX(卡牌图鉴!$K$2:$K$53,MATCH(monster!C617,卡牌图鉴!$C$2:$C$53,0))</f>
        <v>5</v>
      </c>
    </row>
    <row r="618" spans="1:15" x14ac:dyDescent="0.15">
      <c r="A618" s="53">
        <v>2061</v>
      </c>
      <c r="B618" s="53" t="s">
        <v>2472</v>
      </c>
      <c r="C618" s="31">
        <v>1461</v>
      </c>
      <c r="D618" s="15">
        <f>INDEX(卡牌图鉴!$S$2:$S$53,MATCH(monster!C618,卡牌图鉴!$C$2:$C$53,0))</f>
        <v>4</v>
      </c>
      <c r="E618" s="31">
        <v>-1</v>
      </c>
      <c r="F618" s="15">
        <f>F332</f>
        <v>924</v>
      </c>
      <c r="G618" s="15">
        <f>G332</f>
        <v>27.73</v>
      </c>
      <c r="H618" s="15">
        <f>H332/2</f>
        <v>39.200000000000003</v>
      </c>
      <c r="I618" s="15">
        <f>ROUND(I332/2,2)</f>
        <v>1.18</v>
      </c>
      <c r="J618" s="15">
        <f>INDEX(卡牌图鉴!$J$2:$J$53,MATCH(monster!C618,卡牌图鉴!$C$2:$C$53,0))</f>
        <v>1.2</v>
      </c>
      <c r="K618" s="15">
        <f>INDEX(卡牌图鉴!$S$2:$S$53,MATCH(monster!C618,卡牌图鉴!$C$2:$C$53,0))</f>
        <v>4</v>
      </c>
      <c r="L618" s="15">
        <f>INDEX(卡牌图鉴!$H$2:$H$53,MATCH(monster!C618,卡牌图鉴!$C$2:$C$53,0))</f>
        <v>1.1000000000000001</v>
      </c>
      <c r="M618" s="15">
        <f>INDEX(卡牌图鉴!$L$2:$L$53,MATCH(monster!C618,卡牌图鉴!$C$2:$C$53,0))</f>
        <v>5</v>
      </c>
      <c r="N618" s="15">
        <f>INDEX(卡牌图鉴!$AD$2:$AD$53,MATCH(monster!C618,卡牌图鉴!$C$2:$C$53,0))</f>
        <v>6</v>
      </c>
      <c r="O618" s="78">
        <v>8</v>
      </c>
    </row>
    <row r="619" spans="1:15" x14ac:dyDescent="0.15">
      <c r="A619" s="53">
        <v>2062</v>
      </c>
      <c r="B619" s="73" t="s">
        <v>2480</v>
      </c>
      <c r="C619" s="53">
        <v>2062</v>
      </c>
      <c r="D619" s="15">
        <f>INDEX(卡牌图鉴!$S$2:$S$58,MATCH(monster!C619,卡牌图鉴!$C$2:$C$58,0))</f>
        <v>4</v>
      </c>
      <c r="E619" s="31">
        <v>0</v>
      </c>
      <c r="F619" s="15">
        <f>INT(INDEX(卡牌图鉴!$AB$2:$AB$58,MATCH(monster!C619,卡牌图鉴!$C$2:$C$58,0)) * INDEX(数值规划表!$B$61:$B$71,monster!E619+1) * 血量调整)</f>
        <v>1375</v>
      </c>
      <c r="G619" s="15">
        <f>ROUND(INDEX(卡牌图鉴!$AB$2:$AB$58,MATCH(monster!C619,卡牌图鉴!$C$2:$C$58,0)) * INDEX(数值规划表!$D$61:$D$71,monster!E619+1)*血量调整,2)</f>
        <v>41.25</v>
      </c>
      <c r="H619" s="15">
        <f>ROUND(INDEX(卡牌图鉴!$AA$2:$AA$58,MATCH(monster!C619,卡牌图鉴!$C$2:$C$58,0)) * INDEX(数值规划表!$C$61:$C$71,monster!E619+1),2)</f>
        <v>101.02</v>
      </c>
      <c r="I619" s="15">
        <f>ROUND(INDEX(卡牌图鉴!$AA$2:$AA$58,MATCH(monster!C619,卡牌图鉴!$C$2:$C$58,0)) * INDEX(数值规划表!$E$61:$E$71,monster!E619+1),2)</f>
        <v>3.03</v>
      </c>
      <c r="J619" s="15">
        <f>INDEX(卡牌图鉴!$J$2:$J$58,MATCH(monster!C619,卡牌图鉴!$C$2:$C$58,0))</f>
        <v>1.2</v>
      </c>
      <c r="K619" s="15">
        <f>INDEX(卡牌图鉴!$S$2:$S$58,MATCH(monster!C619,卡牌图鉴!$C$2:$C$58,0))</f>
        <v>4</v>
      </c>
      <c r="L619" s="15">
        <f>INDEX(卡牌图鉴!$H$2:$H$58,MATCH(monster!C619,卡牌图鉴!$C$2:$C$58,0))</f>
        <v>1.4</v>
      </c>
      <c r="M619" s="15">
        <f>INDEX(卡牌图鉴!$L$2:$L$58,MATCH(monster!C619,卡牌图鉴!$C$2:$C$58,0))</f>
        <v>8</v>
      </c>
      <c r="N619" s="15">
        <f>INDEX(卡牌图鉴!$AD$2:$AD$58,MATCH(monster!C619,卡牌图鉴!$C$2:$C$58,0))</f>
        <v>8</v>
      </c>
      <c r="O619" s="78">
        <v>8</v>
      </c>
    </row>
    <row r="620" spans="1:15" x14ac:dyDescent="0.15">
      <c r="A620" s="53">
        <v>2063</v>
      </c>
      <c r="B620" s="73" t="s">
        <v>2481</v>
      </c>
      <c r="C620" s="53">
        <v>2062</v>
      </c>
      <c r="D620" s="15">
        <f>INDEX(卡牌图鉴!$S$2:$S$58,MATCH(monster!C620,卡牌图鉴!$C$2:$C$58,0))</f>
        <v>4</v>
      </c>
      <c r="E620" s="31">
        <v>1</v>
      </c>
      <c r="F620" s="15">
        <f>INT(INDEX(卡牌图鉴!$AB$2:$AB$58,MATCH(monster!C620,卡牌图鉴!$C$2:$C$58,0)) * INDEX(数值规划表!$B$61:$B$71,monster!E620+1) * 血量调整)</f>
        <v>1540</v>
      </c>
      <c r="G620" s="15">
        <f>ROUND(INDEX(卡牌图鉴!$AB$2:$AB$58,MATCH(monster!C620,卡牌图鉴!$C$2:$C$58,0)) * INDEX(数值规划表!$D$61:$D$71,monster!E620+1)*血量调整,2)</f>
        <v>46.2</v>
      </c>
      <c r="H620" s="15">
        <f>ROUND(INDEX(卡牌图鉴!$AA$2:$AA$58,MATCH(monster!C620,卡牌图鉴!$C$2:$C$58,0)) * INDEX(数值规划表!$C$61:$C$71,monster!E620+1),2)</f>
        <v>113.14</v>
      </c>
      <c r="I620" s="15">
        <f>ROUND(INDEX(卡牌图鉴!$AA$2:$AA$58,MATCH(monster!C620,卡牌图鉴!$C$2:$C$58,0)) * INDEX(数值规划表!$E$61:$E$71,monster!E620+1),2)</f>
        <v>3.39</v>
      </c>
      <c r="J620" s="15">
        <f>INDEX(卡牌图鉴!$J$2:$J$58,MATCH(monster!C620,卡牌图鉴!$C$2:$C$58,0))</f>
        <v>1.2</v>
      </c>
      <c r="K620" s="15">
        <f>INDEX(卡牌图鉴!$S$2:$S$58,MATCH(monster!C620,卡牌图鉴!$C$2:$C$58,0))</f>
        <v>4</v>
      </c>
      <c r="L620" s="15">
        <f>INDEX(卡牌图鉴!$H$2:$H$58,MATCH(monster!C620,卡牌图鉴!$C$2:$C$58,0))</f>
        <v>1.4</v>
      </c>
      <c r="M620" s="15">
        <f>INDEX(卡牌图鉴!$L$2:$L$58,MATCH(monster!C620,卡牌图鉴!$C$2:$C$58,0))</f>
        <v>8</v>
      </c>
      <c r="N620" s="15">
        <f>INDEX(卡牌图鉴!$AD$2:$AD$58,MATCH(monster!C620,卡牌图鉴!$C$2:$C$58,0))</f>
        <v>8</v>
      </c>
      <c r="O620" s="78">
        <v>8</v>
      </c>
    </row>
    <row r="621" spans="1:15" x14ac:dyDescent="0.15">
      <c r="A621" s="53">
        <v>2064</v>
      </c>
      <c r="B621" s="73" t="s">
        <v>2482</v>
      </c>
      <c r="C621" s="53">
        <v>2062</v>
      </c>
      <c r="D621" s="15">
        <f>INDEX(卡牌图鉴!$S$2:$S$58,MATCH(monster!C621,卡牌图鉴!$C$2:$C$58,0))</f>
        <v>4</v>
      </c>
      <c r="E621" s="31">
        <v>2</v>
      </c>
      <c r="F621" s="15">
        <f>INT(INDEX(卡牌图鉴!$AB$2:$AB$58,MATCH(monster!C621,卡牌图鉴!$C$2:$C$58,0)) * INDEX(数值规划表!$B$61:$B$71,monster!E621+1) * 血量调整)</f>
        <v>1724</v>
      </c>
      <c r="G621" s="15">
        <f>ROUND(INDEX(卡牌图鉴!$AB$2:$AB$58,MATCH(monster!C621,卡牌图鉴!$C$2:$C$58,0)) * INDEX(数值规划表!$D$61:$D$71,monster!E621+1)*血量调整,2)</f>
        <v>51.75</v>
      </c>
      <c r="H621" s="15">
        <f>ROUND(INDEX(卡牌图鉴!$AA$2:$AA$58,MATCH(monster!C621,卡牌图鉴!$C$2:$C$58,0)) * INDEX(数值规划表!$C$61:$C$71,monster!E621+1),2)</f>
        <v>126.72</v>
      </c>
      <c r="I621" s="15">
        <f>ROUND(INDEX(卡牌图鉴!$AA$2:$AA$58,MATCH(monster!C621,卡牌图鉴!$C$2:$C$58,0)) * INDEX(数值规划表!$E$61:$E$71,monster!E621+1),2)</f>
        <v>3.8</v>
      </c>
      <c r="J621" s="15">
        <f>INDEX(卡牌图鉴!$J$2:$J$58,MATCH(monster!C621,卡牌图鉴!$C$2:$C$58,0))</f>
        <v>1.2</v>
      </c>
      <c r="K621" s="15">
        <f>INDEX(卡牌图鉴!$S$2:$S$58,MATCH(monster!C621,卡牌图鉴!$C$2:$C$58,0))</f>
        <v>4</v>
      </c>
      <c r="L621" s="15">
        <f>INDEX(卡牌图鉴!$H$2:$H$58,MATCH(monster!C621,卡牌图鉴!$C$2:$C$58,0))</f>
        <v>1.4</v>
      </c>
      <c r="M621" s="15">
        <f>INDEX(卡牌图鉴!$L$2:$L$58,MATCH(monster!C621,卡牌图鉴!$C$2:$C$58,0))</f>
        <v>8</v>
      </c>
      <c r="N621" s="15">
        <f>INDEX(卡牌图鉴!$AD$2:$AD$58,MATCH(monster!C621,卡牌图鉴!$C$2:$C$58,0))</f>
        <v>8</v>
      </c>
      <c r="O621" s="78">
        <v>8</v>
      </c>
    </row>
    <row r="622" spans="1:15" x14ac:dyDescent="0.15">
      <c r="A622" s="53">
        <v>2065</v>
      </c>
      <c r="B622" s="73" t="s">
        <v>2483</v>
      </c>
      <c r="C622" s="53">
        <v>2062</v>
      </c>
      <c r="D622" s="15">
        <f>INDEX(卡牌图鉴!$S$2:$S$58,MATCH(monster!C622,卡牌图鉴!$C$2:$C$58,0))</f>
        <v>4</v>
      </c>
      <c r="E622" s="31">
        <v>3</v>
      </c>
      <c r="F622" s="15">
        <f>INT(INDEX(卡牌图鉴!$AB$2:$AB$58,MATCH(monster!C622,卡牌图鉴!$C$2:$C$58,0)) * INDEX(数值规划表!$B$61:$B$71,monster!E622+1) * 血量调整)</f>
        <v>1931</v>
      </c>
      <c r="G622" s="15">
        <f>ROUND(INDEX(卡牌图鉴!$AB$2:$AB$58,MATCH(monster!C622,卡牌图鉴!$C$2:$C$58,0)) * INDEX(数值规划表!$D$61:$D$71,monster!E622+1)*血量调整,2)</f>
        <v>57.96</v>
      </c>
      <c r="H622" s="15">
        <f>ROUND(INDEX(卡牌图鉴!$AA$2:$AA$58,MATCH(monster!C622,卡牌图鉴!$C$2:$C$58,0)) * INDEX(数值规划表!$C$61:$C$71,monster!E622+1),2)</f>
        <v>141.93</v>
      </c>
      <c r="I622" s="15">
        <f>ROUND(INDEX(卡牌图鉴!$AA$2:$AA$58,MATCH(monster!C622,卡牌图鉴!$C$2:$C$58,0)) * INDEX(数值规划表!$E$61:$E$71,monster!E622+1),2)</f>
        <v>4.26</v>
      </c>
      <c r="J622" s="15">
        <f>INDEX(卡牌图鉴!$J$2:$J$58,MATCH(monster!C622,卡牌图鉴!$C$2:$C$58,0))</f>
        <v>1.2</v>
      </c>
      <c r="K622" s="15">
        <f>INDEX(卡牌图鉴!$S$2:$S$58,MATCH(monster!C622,卡牌图鉴!$C$2:$C$58,0))</f>
        <v>4</v>
      </c>
      <c r="L622" s="15">
        <f>INDEX(卡牌图鉴!$H$2:$H$58,MATCH(monster!C622,卡牌图鉴!$C$2:$C$58,0))</f>
        <v>1.4</v>
      </c>
      <c r="M622" s="15">
        <f>INDEX(卡牌图鉴!$L$2:$L$58,MATCH(monster!C622,卡牌图鉴!$C$2:$C$58,0))</f>
        <v>8</v>
      </c>
      <c r="N622" s="15">
        <f>INDEX(卡牌图鉴!$AD$2:$AD$58,MATCH(monster!C622,卡牌图鉴!$C$2:$C$58,0))</f>
        <v>8</v>
      </c>
      <c r="O622" s="78">
        <v>8</v>
      </c>
    </row>
    <row r="623" spans="1:15" x14ac:dyDescent="0.15">
      <c r="A623" s="53">
        <v>2066</v>
      </c>
      <c r="B623" s="73" t="s">
        <v>2484</v>
      </c>
      <c r="C623" s="53">
        <v>2062</v>
      </c>
      <c r="D623" s="15">
        <f>INDEX(卡牌图鉴!$S$2:$S$58,MATCH(monster!C623,卡牌图鉴!$C$2:$C$58,0))</f>
        <v>4</v>
      </c>
      <c r="E623" s="31">
        <v>4</v>
      </c>
      <c r="F623" s="15">
        <f>INT(INDEX(卡牌图鉴!$AB$2:$AB$58,MATCH(monster!C623,卡牌图鉴!$C$2:$C$58,0)) * INDEX(数值规划表!$B$61:$B$71,monster!E623+1) * 血量调整)</f>
        <v>2163</v>
      </c>
      <c r="G623" s="15">
        <f>ROUND(INDEX(卡牌图鉴!$AB$2:$AB$58,MATCH(monster!C623,卡牌图鉴!$C$2:$C$58,0)) * INDEX(数值规划表!$D$61:$D$71,monster!E623+1)*血量调整,2)</f>
        <v>64.91</v>
      </c>
      <c r="H623" s="15">
        <f>ROUND(INDEX(卡牌图鉴!$AA$2:$AA$58,MATCH(monster!C623,卡牌图鉴!$C$2:$C$58,0)) * INDEX(数值规划表!$C$61:$C$71,monster!E623+1),2)</f>
        <v>158.96</v>
      </c>
      <c r="I623" s="15">
        <f>ROUND(INDEX(卡牌图鉴!$AA$2:$AA$58,MATCH(monster!C623,卡牌图鉴!$C$2:$C$58,0)) * INDEX(数值规划表!$E$61:$E$71,monster!E623+1),2)</f>
        <v>4.7699999999999996</v>
      </c>
      <c r="J623" s="15">
        <f>INDEX(卡牌图鉴!$J$2:$J$58,MATCH(monster!C623,卡牌图鉴!$C$2:$C$58,0))</f>
        <v>1.2</v>
      </c>
      <c r="K623" s="15">
        <f>INDEX(卡牌图鉴!$S$2:$S$58,MATCH(monster!C623,卡牌图鉴!$C$2:$C$58,0))</f>
        <v>4</v>
      </c>
      <c r="L623" s="15">
        <f>INDEX(卡牌图鉴!$H$2:$H$58,MATCH(monster!C623,卡牌图鉴!$C$2:$C$58,0))</f>
        <v>1.4</v>
      </c>
      <c r="M623" s="15">
        <f>INDEX(卡牌图鉴!$L$2:$L$58,MATCH(monster!C623,卡牌图鉴!$C$2:$C$58,0))</f>
        <v>8</v>
      </c>
      <c r="N623" s="15">
        <f>INDEX(卡牌图鉴!$AD$2:$AD$58,MATCH(monster!C623,卡牌图鉴!$C$2:$C$58,0))</f>
        <v>8</v>
      </c>
      <c r="O623" s="78">
        <v>8</v>
      </c>
    </row>
    <row r="624" spans="1:15" x14ac:dyDescent="0.15">
      <c r="A624" s="53">
        <v>2067</v>
      </c>
      <c r="B624" s="73" t="s">
        <v>2485</v>
      </c>
      <c r="C624" s="53">
        <v>2062</v>
      </c>
      <c r="D624" s="15">
        <f>INDEX(卡牌图鉴!$S$2:$S$58,MATCH(monster!C624,卡牌图鉴!$C$2:$C$58,0))</f>
        <v>4</v>
      </c>
      <c r="E624" s="31">
        <v>5</v>
      </c>
      <c r="F624" s="15">
        <f>INT(INDEX(卡牌图鉴!$AB$2:$AB$58,MATCH(monster!C624,卡牌图鉴!$C$2:$C$58,0)) * INDEX(数值规划表!$B$61:$B$71,monster!E624+1) * 血量调整)</f>
        <v>2423</v>
      </c>
      <c r="G624" s="15">
        <f>ROUND(INDEX(卡牌图鉴!$AB$2:$AB$58,MATCH(monster!C624,卡牌图鉴!$C$2:$C$58,0)) * INDEX(数值规划表!$D$61:$D$71,monster!E624+1)*血量调整,2)</f>
        <v>72.7</v>
      </c>
      <c r="H624" s="15">
        <f>ROUND(INDEX(卡牌图鉴!$AA$2:$AA$58,MATCH(monster!C624,卡牌图鉴!$C$2:$C$58,0)) * INDEX(数值规划表!$C$61:$C$71,monster!E624+1),2)</f>
        <v>178.03</v>
      </c>
      <c r="I624" s="15">
        <f>ROUND(INDEX(卡牌图鉴!$AA$2:$AA$58,MATCH(monster!C624,卡牌图鉴!$C$2:$C$58,0)) * INDEX(数值规划表!$E$61:$E$71,monster!E624+1),2)</f>
        <v>5.34</v>
      </c>
      <c r="J624" s="15">
        <f>INDEX(卡牌图鉴!$J$2:$J$58,MATCH(monster!C624,卡牌图鉴!$C$2:$C$58,0))</f>
        <v>1.2</v>
      </c>
      <c r="K624" s="15">
        <f>INDEX(卡牌图鉴!$S$2:$S$58,MATCH(monster!C624,卡牌图鉴!$C$2:$C$58,0))</f>
        <v>4</v>
      </c>
      <c r="L624" s="15">
        <f>INDEX(卡牌图鉴!$H$2:$H$58,MATCH(monster!C624,卡牌图鉴!$C$2:$C$58,0))</f>
        <v>1.4</v>
      </c>
      <c r="M624" s="15">
        <f>INDEX(卡牌图鉴!$L$2:$L$58,MATCH(monster!C624,卡牌图鉴!$C$2:$C$58,0))</f>
        <v>8</v>
      </c>
      <c r="N624" s="15">
        <f>INDEX(卡牌图鉴!$AD$2:$AD$58,MATCH(monster!C624,卡牌图鉴!$C$2:$C$58,0))</f>
        <v>8</v>
      </c>
      <c r="O624" s="78">
        <v>8</v>
      </c>
    </row>
    <row r="625" spans="1:15" x14ac:dyDescent="0.15">
      <c r="A625" s="53">
        <v>2068</v>
      </c>
      <c r="B625" s="73" t="s">
        <v>2486</v>
      </c>
      <c r="C625" s="53">
        <v>2062</v>
      </c>
      <c r="D625" s="15">
        <f>INDEX(卡牌图鉴!$S$2:$S$58,MATCH(monster!C625,卡牌图鉴!$C$2:$C$58,0))</f>
        <v>4</v>
      </c>
      <c r="E625" s="31">
        <v>6</v>
      </c>
      <c r="F625" s="15">
        <f>INT(INDEX(卡牌图鉴!$AB$2:$AB$58,MATCH(monster!C625,卡牌图鉴!$C$2:$C$58,0)) * INDEX(数值规划表!$B$61:$B$71,monster!E625+1) * 血量调整)</f>
        <v>2714</v>
      </c>
      <c r="G625" s="15">
        <f>ROUND(INDEX(卡牌图鉴!$AB$2:$AB$58,MATCH(monster!C625,卡牌图鉴!$C$2:$C$58,0)) * INDEX(数值规划表!$D$61:$D$71,monster!E625+1)*血量调整,2)</f>
        <v>81.42</v>
      </c>
      <c r="H625" s="15">
        <f>ROUND(INDEX(卡牌图鉴!$AA$2:$AA$58,MATCH(monster!C625,卡牌图鉴!$C$2:$C$58,0)) * INDEX(数值规划表!$C$61:$C$71,monster!E625+1),2)</f>
        <v>199.4</v>
      </c>
      <c r="I625" s="15">
        <f>ROUND(INDEX(卡牌图鉴!$AA$2:$AA$58,MATCH(monster!C625,卡牌图鉴!$C$2:$C$58,0)) * INDEX(数值规划表!$E$61:$E$71,monster!E625+1),2)</f>
        <v>5.98</v>
      </c>
      <c r="J625" s="15">
        <f>INDEX(卡牌图鉴!$J$2:$J$58,MATCH(monster!C625,卡牌图鉴!$C$2:$C$58,0))</f>
        <v>1.2</v>
      </c>
      <c r="K625" s="15">
        <f>INDEX(卡牌图鉴!$S$2:$S$58,MATCH(monster!C625,卡牌图鉴!$C$2:$C$58,0))</f>
        <v>4</v>
      </c>
      <c r="L625" s="15">
        <f>INDEX(卡牌图鉴!$H$2:$H$58,MATCH(monster!C625,卡牌图鉴!$C$2:$C$58,0))</f>
        <v>1.4</v>
      </c>
      <c r="M625" s="15">
        <f>INDEX(卡牌图鉴!$L$2:$L$58,MATCH(monster!C625,卡牌图鉴!$C$2:$C$58,0))</f>
        <v>8</v>
      </c>
      <c r="N625" s="15">
        <f>INDEX(卡牌图鉴!$AD$2:$AD$58,MATCH(monster!C625,卡牌图鉴!$C$2:$C$58,0))</f>
        <v>8</v>
      </c>
      <c r="O625" s="78">
        <v>8</v>
      </c>
    </row>
    <row r="626" spans="1:15" x14ac:dyDescent="0.15">
      <c r="A626" s="53">
        <v>2069</v>
      </c>
      <c r="B626" s="73" t="s">
        <v>2487</v>
      </c>
      <c r="C626" s="53">
        <v>2062</v>
      </c>
      <c r="D626" s="15">
        <f>INDEX(卡牌图鉴!$S$2:$S$58,MATCH(monster!C626,卡牌图鉴!$C$2:$C$58,0))</f>
        <v>4</v>
      </c>
      <c r="E626" s="31">
        <v>7</v>
      </c>
      <c r="F626" s="15">
        <f>INT(INDEX(卡牌图鉴!$AB$2:$AB$58,MATCH(monster!C626,卡牌图鉴!$C$2:$C$58,0)) * INDEX(数值规划表!$B$61:$B$71,monster!E626+1) * 血量调整)</f>
        <v>3039</v>
      </c>
      <c r="G626" s="15">
        <f>ROUND(INDEX(卡牌图鉴!$AB$2:$AB$58,MATCH(monster!C626,卡牌图鉴!$C$2:$C$58,0)) * INDEX(数值规划表!$D$61:$D$71,monster!E626+1)*血量调整,2)</f>
        <v>91.2</v>
      </c>
      <c r="H626" s="15">
        <f>ROUND(INDEX(卡牌图鉴!$AA$2:$AA$58,MATCH(monster!C626,卡牌图鉴!$C$2:$C$58,0)) * INDEX(数值规划表!$C$61:$C$71,monster!E626+1),2)</f>
        <v>223.32</v>
      </c>
      <c r="I626" s="15">
        <f>ROUND(INDEX(卡牌图鉴!$AA$2:$AA$58,MATCH(monster!C626,卡牌图鉴!$C$2:$C$58,0)) * INDEX(数值规划表!$E$61:$E$71,monster!E626+1),2)</f>
        <v>6.7</v>
      </c>
      <c r="J626" s="15">
        <f>INDEX(卡牌图鉴!$J$2:$J$58,MATCH(monster!C626,卡牌图鉴!$C$2:$C$58,0))</f>
        <v>1.2</v>
      </c>
      <c r="K626" s="15">
        <f>INDEX(卡牌图鉴!$S$2:$S$58,MATCH(monster!C626,卡牌图鉴!$C$2:$C$58,0))</f>
        <v>4</v>
      </c>
      <c r="L626" s="15">
        <f>INDEX(卡牌图鉴!$H$2:$H$58,MATCH(monster!C626,卡牌图鉴!$C$2:$C$58,0))</f>
        <v>1.4</v>
      </c>
      <c r="M626" s="15">
        <f>INDEX(卡牌图鉴!$L$2:$L$58,MATCH(monster!C626,卡牌图鉴!$C$2:$C$58,0))</f>
        <v>8</v>
      </c>
      <c r="N626" s="15">
        <f>INDEX(卡牌图鉴!$AD$2:$AD$58,MATCH(monster!C626,卡牌图鉴!$C$2:$C$58,0))</f>
        <v>8</v>
      </c>
      <c r="O626" s="78">
        <v>8</v>
      </c>
    </row>
    <row r="627" spans="1:15" x14ac:dyDescent="0.15">
      <c r="A627" s="53">
        <v>2070</v>
      </c>
      <c r="B627" s="73" t="s">
        <v>2488</v>
      </c>
      <c r="C627" s="53">
        <v>2062</v>
      </c>
      <c r="D627" s="15">
        <f>INDEX(卡牌图鉴!$S$2:$S$58,MATCH(monster!C627,卡牌图鉴!$C$2:$C$58,0))</f>
        <v>4</v>
      </c>
      <c r="E627" s="31">
        <v>8</v>
      </c>
      <c r="F627" s="15">
        <f>INT(INDEX(卡牌图鉴!$AB$2:$AB$58,MATCH(monster!C627,卡牌图鉴!$C$2:$C$58,0)) * INDEX(数值规划表!$B$61:$B$71,monster!E627+1) * 血量调整)</f>
        <v>3404</v>
      </c>
      <c r="G627" s="15">
        <f>ROUND(INDEX(卡牌图鉴!$AB$2:$AB$58,MATCH(monster!C627,卡牌图鉴!$C$2:$C$58,0)) * INDEX(数值规划表!$D$61:$D$71,monster!E627+1)*血量调整,2)</f>
        <v>102.14</v>
      </c>
      <c r="H627" s="15">
        <f>ROUND(INDEX(卡牌图鉴!$AA$2:$AA$58,MATCH(monster!C627,卡牌图鉴!$C$2:$C$58,0)) * INDEX(数值规划表!$C$61:$C$71,monster!E627+1),2)</f>
        <v>250.12</v>
      </c>
      <c r="I627" s="15">
        <f>ROUND(INDEX(卡牌图鉴!$AA$2:$AA$58,MATCH(monster!C627,卡牌图鉴!$C$2:$C$58,0)) * INDEX(数值规划表!$E$61:$E$71,monster!E627+1),2)</f>
        <v>7.5</v>
      </c>
      <c r="J627" s="15">
        <f>INDEX(卡牌图鉴!$J$2:$J$58,MATCH(monster!C627,卡牌图鉴!$C$2:$C$58,0))</f>
        <v>1.2</v>
      </c>
      <c r="K627" s="15">
        <f>INDEX(卡牌图鉴!$S$2:$S$58,MATCH(monster!C627,卡牌图鉴!$C$2:$C$58,0))</f>
        <v>4</v>
      </c>
      <c r="L627" s="15">
        <f>INDEX(卡牌图鉴!$H$2:$H$58,MATCH(monster!C627,卡牌图鉴!$C$2:$C$58,0))</f>
        <v>1.4</v>
      </c>
      <c r="M627" s="15">
        <f>INDEX(卡牌图鉴!$L$2:$L$58,MATCH(monster!C627,卡牌图鉴!$C$2:$C$58,0))</f>
        <v>8</v>
      </c>
      <c r="N627" s="15">
        <f>INDEX(卡牌图鉴!$AD$2:$AD$58,MATCH(monster!C627,卡牌图鉴!$C$2:$C$58,0))</f>
        <v>8</v>
      </c>
      <c r="O627" s="78">
        <v>8</v>
      </c>
    </row>
    <row r="628" spans="1:15" x14ac:dyDescent="0.15">
      <c r="A628" s="53">
        <v>2071</v>
      </c>
      <c r="B628" s="73" t="s">
        <v>2489</v>
      </c>
      <c r="C628" s="53">
        <v>2062</v>
      </c>
      <c r="D628" s="15">
        <f>INDEX(卡牌图鉴!$S$2:$S$58,MATCH(monster!C628,卡牌图鉴!$C$2:$C$58,0))</f>
        <v>4</v>
      </c>
      <c r="E628" s="31">
        <v>9</v>
      </c>
      <c r="F628" s="15">
        <f>INT(INDEX(卡牌图鉴!$AB$2:$AB$58,MATCH(monster!C628,卡牌图鉴!$C$2:$C$58,0)) * INDEX(数值规划表!$B$61:$B$71,monster!E628+1) * 血量调整)</f>
        <v>3813</v>
      </c>
      <c r="G628" s="15">
        <f>ROUND(INDEX(卡牌图鉴!$AB$2:$AB$58,MATCH(monster!C628,卡牌图鉴!$C$2:$C$58,0)) * INDEX(数值规划表!$D$61:$D$71,monster!E628+1)*血量调整,2)</f>
        <v>114.4</v>
      </c>
      <c r="H628" s="15">
        <f>ROUND(INDEX(卡牌图鉴!$AA$2:$AA$58,MATCH(monster!C628,卡牌图鉴!$C$2:$C$58,0)) * INDEX(数值规划表!$C$61:$C$71,monster!E628+1),2)</f>
        <v>280.14</v>
      </c>
      <c r="I628" s="15">
        <f>ROUND(INDEX(卡牌图鉴!$AA$2:$AA$58,MATCH(monster!C628,卡牌图鉴!$C$2:$C$58,0)) * INDEX(数值规划表!$E$61:$E$71,monster!E628+1),2)</f>
        <v>8.4</v>
      </c>
      <c r="J628" s="15">
        <f>INDEX(卡牌图鉴!$J$2:$J$58,MATCH(monster!C628,卡牌图鉴!$C$2:$C$58,0))</f>
        <v>1.2</v>
      </c>
      <c r="K628" s="15">
        <f>INDEX(卡牌图鉴!$S$2:$S$58,MATCH(monster!C628,卡牌图鉴!$C$2:$C$58,0))</f>
        <v>4</v>
      </c>
      <c r="L628" s="15">
        <f>INDEX(卡牌图鉴!$H$2:$H$58,MATCH(monster!C628,卡牌图鉴!$C$2:$C$58,0))</f>
        <v>1.4</v>
      </c>
      <c r="M628" s="15">
        <f>INDEX(卡牌图鉴!$L$2:$L$58,MATCH(monster!C628,卡牌图鉴!$C$2:$C$58,0))</f>
        <v>8</v>
      </c>
      <c r="N628" s="15">
        <f>INDEX(卡牌图鉴!$AD$2:$AD$58,MATCH(monster!C628,卡牌图鉴!$C$2:$C$58,0))</f>
        <v>8</v>
      </c>
      <c r="O628" s="78">
        <v>8</v>
      </c>
    </row>
    <row r="629" spans="1:15" x14ac:dyDescent="0.15">
      <c r="A629" s="53">
        <v>2072</v>
      </c>
      <c r="B629" s="73" t="s">
        <v>2490</v>
      </c>
      <c r="C629" s="53">
        <v>2062</v>
      </c>
      <c r="D629" s="15">
        <f>INDEX(卡牌图鉴!$S$2:$S$58,MATCH(monster!C629,卡牌图鉴!$C$2:$C$58,0))</f>
        <v>4</v>
      </c>
      <c r="E629" s="31">
        <v>10</v>
      </c>
      <c r="F629" s="15">
        <f>INT(INDEX(卡牌图鉴!$AB$2:$AB$58,MATCH(monster!C629,卡牌图鉴!$C$2:$C$58,0)) * INDEX(数值规划表!$B$61:$B$71,monster!E629+1) * 血量调整)</f>
        <v>4270</v>
      </c>
      <c r="G629" s="15">
        <f>ROUND(INDEX(卡牌图鉴!$AB$2:$AB$58,MATCH(monster!C629,卡牌图鉴!$C$2:$C$58,0)) * INDEX(数值规划表!$D$61:$D$71,monster!E629+1)*血量调整,2)</f>
        <v>128.12</v>
      </c>
      <c r="H629" s="15">
        <f>ROUND(INDEX(卡牌图鉴!$AA$2:$AA$58,MATCH(monster!C629,卡牌图鉴!$C$2:$C$58,0)) * INDEX(数值规划表!$C$61:$C$71,monster!E629+1),2)</f>
        <v>313.75</v>
      </c>
      <c r="I629" s="15">
        <f>ROUND(INDEX(卡牌图鉴!$AA$2:$AA$58,MATCH(monster!C629,卡牌图鉴!$C$2:$C$58,0)) * INDEX(数值规划表!$E$61:$E$71,monster!E629+1),2)</f>
        <v>9.41</v>
      </c>
      <c r="J629" s="15">
        <f>INDEX(卡牌图鉴!$J$2:$J$58,MATCH(monster!C629,卡牌图鉴!$C$2:$C$58,0))</f>
        <v>1.2</v>
      </c>
      <c r="K629" s="15">
        <f>INDEX(卡牌图鉴!$S$2:$S$58,MATCH(monster!C629,卡牌图鉴!$C$2:$C$58,0))</f>
        <v>4</v>
      </c>
      <c r="L629" s="15">
        <f>INDEX(卡牌图鉴!$H$2:$H$58,MATCH(monster!C629,卡牌图鉴!$C$2:$C$58,0))</f>
        <v>1.4</v>
      </c>
      <c r="M629" s="15">
        <f>INDEX(卡牌图鉴!$L$2:$L$58,MATCH(monster!C629,卡牌图鉴!$C$2:$C$58,0))</f>
        <v>8</v>
      </c>
      <c r="N629" s="15">
        <f>INDEX(卡牌图鉴!$AD$2:$AD$58,MATCH(monster!C629,卡牌图鉴!$C$2:$C$58,0))</f>
        <v>8</v>
      </c>
      <c r="O629" s="78">
        <v>8</v>
      </c>
    </row>
    <row r="630" spans="1:15" x14ac:dyDescent="0.15">
      <c r="A630" s="53">
        <v>2075</v>
      </c>
      <c r="B630" s="79" t="s">
        <v>2714</v>
      </c>
      <c r="C630" s="53">
        <v>2075</v>
      </c>
      <c r="D630" s="15">
        <f>INDEX(卡牌图鉴!$S$2:$S$58,MATCH(monster!C630,卡牌图鉴!$C$2:$C$58,0))</f>
        <v>1</v>
      </c>
      <c r="E630" s="31">
        <v>0</v>
      </c>
      <c r="F630" s="15">
        <f>INT(INDEX(卡牌图鉴!$AB$2:$AB$58,MATCH(monster!C630,卡牌图鉴!$C$2:$C$58,0)) * INDEX(数值规划表!$B$61:$B$71,monster!E630+1) * 血量调整)</f>
        <v>163</v>
      </c>
      <c r="G630" s="15">
        <f>ROUND(INDEX(卡牌图鉴!$AB$2:$AB$58,MATCH(monster!C630,卡牌图鉴!$C$2:$C$58,0)) * INDEX(数值规划表!$D$61:$D$71,monster!E630+1)*血量调整,2)</f>
        <v>4.91</v>
      </c>
      <c r="H630" s="15">
        <f>ROUND(INDEX(卡牌图鉴!$AA$2:$AA$58,MATCH(monster!C630,卡牌图鉴!$C$2:$C$58,0)) * INDEX(数值规划表!$C$61:$C$71,monster!E630+1),2)</f>
        <v>47.15</v>
      </c>
      <c r="I630" s="15">
        <f>ROUND(INDEX(卡牌图鉴!$AA$2:$AA$58,MATCH(monster!C630,卡牌图鉴!$C$2:$C$58,0)) * INDEX(数值规划表!$E$61:$E$71,monster!E630+1),2)</f>
        <v>1.41</v>
      </c>
      <c r="J630" s="15">
        <f>INDEX(卡牌图鉴!$J$2:$J$58,MATCH(monster!C630,卡牌图鉴!$C$2:$C$58,0))</f>
        <v>5</v>
      </c>
      <c r="K630" s="15">
        <f>INDEX(卡牌图鉴!$S$2:$S$58,MATCH(monster!C630,卡牌图鉴!$C$2:$C$58,0))</f>
        <v>1</v>
      </c>
      <c r="L630" s="15">
        <f>INDEX(卡牌图鉴!$H$2:$H$58,MATCH(monster!C630,卡牌图鉴!$C$2:$C$58,0))</f>
        <v>1.4</v>
      </c>
      <c r="M630" s="15">
        <f>INDEX(卡牌图鉴!$L$2:$L$58,MATCH(monster!C630,卡牌图鉴!$C$2:$C$58,0))</f>
        <v>3</v>
      </c>
      <c r="N630" s="15">
        <f>INDEX(卡牌图鉴!$AD$2:$AD$58,MATCH(monster!C630,卡牌图鉴!$C$2:$C$58,0))</f>
        <v>8</v>
      </c>
      <c r="O630" s="78">
        <v>3</v>
      </c>
    </row>
    <row r="631" spans="1:15" x14ac:dyDescent="0.15">
      <c r="A631" s="53">
        <v>2076</v>
      </c>
      <c r="B631" s="79" t="s">
        <v>2715</v>
      </c>
      <c r="C631" s="53">
        <v>2075</v>
      </c>
      <c r="D631" s="15">
        <f>INDEX(卡牌图鉴!$S$2:$S$58,MATCH(monster!C631,卡牌图鉴!$C$2:$C$58,0))</f>
        <v>1</v>
      </c>
      <c r="E631" s="90">
        <v>1</v>
      </c>
      <c r="F631" s="15">
        <f>INT(INDEX(卡牌图鉴!$AB$2:$AB$58,MATCH(monster!C631,卡牌图鉴!$C$2:$C$58,0)) * INDEX(数值规划表!$B$61:$B$71,monster!E631+1) * 血量调整)</f>
        <v>183</v>
      </c>
      <c r="G631" s="15">
        <f>ROUND(INDEX(卡牌图鉴!$AB$2:$AB$58,MATCH(monster!C631,卡牌图鉴!$C$2:$C$58,0)) * INDEX(数值规划表!$D$61:$D$71,monster!E631+1)*血量调整,2)</f>
        <v>5.5</v>
      </c>
      <c r="H631" s="15">
        <f>ROUND(INDEX(卡牌图鉴!$AA$2:$AA$58,MATCH(monster!C631,卡牌图鉴!$C$2:$C$58,0)) * INDEX(数值规划表!$C$61:$C$71,monster!E631+1),2)</f>
        <v>52.81</v>
      </c>
      <c r="I631" s="15">
        <f>ROUND(INDEX(卡牌图鉴!$AA$2:$AA$58,MATCH(monster!C631,卡牌图鉴!$C$2:$C$58,0)) * INDEX(数值规划表!$E$61:$E$71,monster!E631+1),2)</f>
        <v>1.58</v>
      </c>
      <c r="J631" s="15">
        <f>INDEX(卡牌图鉴!$J$2:$J$58,MATCH(monster!C631,卡牌图鉴!$C$2:$C$58,0))</f>
        <v>5</v>
      </c>
      <c r="K631" s="15">
        <f>INDEX(卡牌图鉴!$S$2:$S$58,MATCH(monster!C631,卡牌图鉴!$C$2:$C$58,0))</f>
        <v>1</v>
      </c>
      <c r="L631" s="15">
        <f>INDEX(卡牌图鉴!$H$2:$H$58,MATCH(monster!C631,卡牌图鉴!$C$2:$C$58,0))</f>
        <v>1.4</v>
      </c>
      <c r="M631" s="15">
        <f>INDEX(卡牌图鉴!$L$2:$L$58,MATCH(monster!C631,卡牌图鉴!$C$2:$C$58,0))</f>
        <v>3</v>
      </c>
      <c r="N631" s="15">
        <f>INDEX(卡牌图鉴!$AD$2:$AD$58,MATCH(monster!C631,卡牌图鉴!$C$2:$C$58,0))</f>
        <v>8</v>
      </c>
      <c r="O631" s="78">
        <v>3</v>
      </c>
    </row>
    <row r="632" spans="1:15" x14ac:dyDescent="0.15">
      <c r="A632" s="53">
        <v>2077</v>
      </c>
      <c r="B632" s="79" t="s">
        <v>2716</v>
      </c>
      <c r="C632" s="53">
        <v>2075</v>
      </c>
      <c r="D632" s="15">
        <f>INDEX(卡牌图鉴!$S$2:$S$58,MATCH(monster!C632,卡牌图鉴!$C$2:$C$58,0))</f>
        <v>1</v>
      </c>
      <c r="E632" s="31">
        <v>2</v>
      </c>
      <c r="F632" s="15">
        <f>INT(INDEX(卡牌图鉴!$AB$2:$AB$58,MATCH(monster!C632,卡牌图鉴!$C$2:$C$58,0)) * INDEX(数值规划表!$B$61:$B$71,monster!E632+1) * 血量调整)</f>
        <v>205</v>
      </c>
      <c r="G632" s="15">
        <f>ROUND(INDEX(卡牌图鉴!$AB$2:$AB$58,MATCH(monster!C632,卡牌图鉴!$C$2:$C$58,0)) * INDEX(数值规划表!$D$61:$D$71,monster!E632+1)*血量调整,2)</f>
        <v>6.16</v>
      </c>
      <c r="H632" s="15">
        <f>ROUND(INDEX(卡牌图鉴!$AA$2:$AA$58,MATCH(monster!C632,卡牌图鉴!$C$2:$C$58,0)) * INDEX(数值规划表!$C$61:$C$71,monster!E632+1),2)</f>
        <v>59.14</v>
      </c>
      <c r="I632" s="15">
        <f>ROUND(INDEX(卡牌图鉴!$AA$2:$AA$58,MATCH(monster!C632,卡牌图鉴!$C$2:$C$58,0)) * INDEX(数值规划表!$E$61:$E$71,monster!E632+1),2)</f>
        <v>1.77</v>
      </c>
      <c r="J632" s="15">
        <f>INDEX(卡牌图鉴!$J$2:$J$58,MATCH(monster!C632,卡牌图鉴!$C$2:$C$58,0))</f>
        <v>5</v>
      </c>
      <c r="K632" s="15">
        <f>INDEX(卡牌图鉴!$S$2:$S$58,MATCH(monster!C632,卡牌图鉴!$C$2:$C$58,0))</f>
        <v>1</v>
      </c>
      <c r="L632" s="15">
        <f>INDEX(卡牌图鉴!$H$2:$H$58,MATCH(monster!C632,卡牌图鉴!$C$2:$C$58,0))</f>
        <v>1.4</v>
      </c>
      <c r="M632" s="15">
        <f>INDEX(卡牌图鉴!$L$2:$L$58,MATCH(monster!C632,卡牌图鉴!$C$2:$C$58,0))</f>
        <v>3</v>
      </c>
      <c r="N632" s="15">
        <f>INDEX(卡牌图鉴!$AD$2:$AD$58,MATCH(monster!C632,卡牌图鉴!$C$2:$C$58,0))</f>
        <v>8</v>
      </c>
      <c r="O632" s="78">
        <v>3</v>
      </c>
    </row>
    <row r="633" spans="1:15" x14ac:dyDescent="0.15">
      <c r="A633" s="53">
        <v>2078</v>
      </c>
      <c r="B633" s="79" t="s">
        <v>2717</v>
      </c>
      <c r="C633" s="53">
        <v>2075</v>
      </c>
      <c r="D633" s="15">
        <f>INDEX(卡牌图鉴!$S$2:$S$58,MATCH(monster!C633,卡牌图鉴!$C$2:$C$58,0))</f>
        <v>1</v>
      </c>
      <c r="E633" s="90">
        <v>3</v>
      </c>
      <c r="F633" s="15">
        <f>INT(INDEX(卡牌图鉴!$AB$2:$AB$58,MATCH(monster!C633,卡牌图鉴!$C$2:$C$58,0)) * INDEX(数值规划表!$B$61:$B$71,monster!E633+1) * 血量调整)</f>
        <v>229</v>
      </c>
      <c r="G633" s="15">
        <f>ROUND(INDEX(卡牌图鉴!$AB$2:$AB$58,MATCH(monster!C633,卡牌图鉴!$C$2:$C$58,0)) * INDEX(数值规划表!$D$61:$D$71,monster!E633+1)*血量调整,2)</f>
        <v>6.9</v>
      </c>
      <c r="H633" s="15">
        <f>ROUND(INDEX(卡牌图鉴!$AA$2:$AA$58,MATCH(monster!C633,卡牌图鉴!$C$2:$C$58,0)) * INDEX(数值规划表!$C$61:$C$71,monster!E633+1),2)</f>
        <v>66.239999999999995</v>
      </c>
      <c r="I633" s="15">
        <f>ROUND(INDEX(卡牌图鉴!$AA$2:$AA$58,MATCH(monster!C633,卡牌图鉴!$C$2:$C$58,0)) * INDEX(数值规划表!$E$61:$E$71,monster!E633+1),2)</f>
        <v>1.99</v>
      </c>
      <c r="J633" s="15">
        <f>INDEX(卡牌图鉴!$J$2:$J$58,MATCH(monster!C633,卡牌图鉴!$C$2:$C$58,0))</f>
        <v>5</v>
      </c>
      <c r="K633" s="15">
        <f>INDEX(卡牌图鉴!$S$2:$S$58,MATCH(monster!C633,卡牌图鉴!$C$2:$C$58,0))</f>
        <v>1</v>
      </c>
      <c r="L633" s="15">
        <f>INDEX(卡牌图鉴!$H$2:$H$58,MATCH(monster!C633,卡牌图鉴!$C$2:$C$58,0))</f>
        <v>1.4</v>
      </c>
      <c r="M633" s="15">
        <f>INDEX(卡牌图鉴!$L$2:$L$58,MATCH(monster!C633,卡牌图鉴!$C$2:$C$58,0))</f>
        <v>3</v>
      </c>
      <c r="N633" s="15">
        <f>INDEX(卡牌图鉴!$AD$2:$AD$58,MATCH(monster!C633,卡牌图鉴!$C$2:$C$58,0))</f>
        <v>8</v>
      </c>
      <c r="O633" s="78">
        <v>3</v>
      </c>
    </row>
    <row r="634" spans="1:15" x14ac:dyDescent="0.15">
      <c r="A634" s="53">
        <v>2079</v>
      </c>
      <c r="B634" s="79" t="s">
        <v>2718</v>
      </c>
      <c r="C634" s="53">
        <v>2075</v>
      </c>
      <c r="D634" s="15">
        <f>INDEX(卡牌图鉴!$S$2:$S$58,MATCH(monster!C634,卡牌图鉴!$C$2:$C$58,0))</f>
        <v>1</v>
      </c>
      <c r="E634" s="31">
        <v>4</v>
      </c>
      <c r="F634" s="15">
        <f>INT(INDEX(卡牌图鉴!$AB$2:$AB$58,MATCH(monster!C634,卡牌图鉴!$C$2:$C$58,0)) * INDEX(数值规划表!$B$61:$B$71,monster!E634+1) * 血量调整)</f>
        <v>257</v>
      </c>
      <c r="G634" s="15">
        <f>ROUND(INDEX(卡牌图鉴!$AB$2:$AB$58,MATCH(monster!C634,卡牌图鉴!$C$2:$C$58,0)) * INDEX(数值规划表!$D$61:$D$71,monster!E634+1)*血量调整,2)</f>
        <v>7.72</v>
      </c>
      <c r="H634" s="15">
        <f>ROUND(INDEX(卡牌图鉴!$AA$2:$AA$58,MATCH(monster!C634,卡牌图鉴!$C$2:$C$58,0)) * INDEX(数值规划表!$C$61:$C$71,monster!E634+1),2)</f>
        <v>74.19</v>
      </c>
      <c r="I634" s="15">
        <f>ROUND(INDEX(卡牌图鉴!$AA$2:$AA$58,MATCH(monster!C634,卡牌图鉴!$C$2:$C$58,0)) * INDEX(数值规划表!$E$61:$E$71,monster!E634+1),2)</f>
        <v>2.23</v>
      </c>
      <c r="J634" s="15">
        <f>INDEX(卡牌图鉴!$J$2:$J$58,MATCH(monster!C634,卡牌图鉴!$C$2:$C$58,0))</f>
        <v>5</v>
      </c>
      <c r="K634" s="15">
        <f>INDEX(卡牌图鉴!$S$2:$S$58,MATCH(monster!C634,卡牌图鉴!$C$2:$C$58,0))</f>
        <v>1</v>
      </c>
      <c r="L634" s="15">
        <f>INDEX(卡牌图鉴!$H$2:$H$58,MATCH(monster!C634,卡牌图鉴!$C$2:$C$58,0))</f>
        <v>1.4</v>
      </c>
      <c r="M634" s="15">
        <f>INDEX(卡牌图鉴!$L$2:$L$58,MATCH(monster!C634,卡牌图鉴!$C$2:$C$58,0))</f>
        <v>3</v>
      </c>
      <c r="N634" s="15">
        <f>INDEX(卡牌图鉴!$AD$2:$AD$58,MATCH(monster!C634,卡牌图鉴!$C$2:$C$58,0))</f>
        <v>8</v>
      </c>
      <c r="O634" s="78">
        <v>3</v>
      </c>
    </row>
    <row r="635" spans="1:15" x14ac:dyDescent="0.15">
      <c r="A635" s="53">
        <v>2080</v>
      </c>
      <c r="B635" s="79" t="s">
        <v>2719</v>
      </c>
      <c r="C635" s="53">
        <v>2075</v>
      </c>
      <c r="D635" s="15">
        <f>INDEX(卡牌图鉴!$S$2:$S$58,MATCH(monster!C635,卡牌图鉴!$C$2:$C$58,0))</f>
        <v>1</v>
      </c>
      <c r="E635" s="90">
        <v>5</v>
      </c>
      <c r="F635" s="15">
        <f>INT(INDEX(卡牌图鉴!$AB$2:$AB$58,MATCH(monster!C635,卡牌图鉴!$C$2:$C$58,0)) * INDEX(数值规划表!$B$61:$B$71,monster!E635+1) * 血量调整)</f>
        <v>288</v>
      </c>
      <c r="G635" s="15">
        <f>ROUND(INDEX(卡牌图鉴!$AB$2:$AB$58,MATCH(monster!C635,卡牌图鉴!$C$2:$C$58,0)) * INDEX(数值规划表!$D$61:$D$71,monster!E635+1)*血量调整,2)</f>
        <v>8.65</v>
      </c>
      <c r="H635" s="15">
        <f>ROUND(INDEX(卡牌图鉴!$AA$2:$AA$58,MATCH(monster!C635,卡牌图鉴!$C$2:$C$58,0)) * INDEX(数值规划表!$C$61:$C$71,monster!E635+1),2)</f>
        <v>83.09</v>
      </c>
      <c r="I635" s="15">
        <f>ROUND(INDEX(卡牌图鉴!$AA$2:$AA$58,MATCH(monster!C635,卡牌图鉴!$C$2:$C$58,0)) * INDEX(数值规划表!$E$61:$E$71,monster!E635+1),2)</f>
        <v>2.4900000000000002</v>
      </c>
      <c r="J635" s="15">
        <f>INDEX(卡牌图鉴!$J$2:$J$58,MATCH(monster!C635,卡牌图鉴!$C$2:$C$58,0))</f>
        <v>5</v>
      </c>
      <c r="K635" s="15">
        <f>INDEX(卡牌图鉴!$S$2:$S$58,MATCH(monster!C635,卡牌图鉴!$C$2:$C$58,0))</f>
        <v>1</v>
      </c>
      <c r="L635" s="15">
        <f>INDEX(卡牌图鉴!$H$2:$H$58,MATCH(monster!C635,卡牌图鉴!$C$2:$C$58,0))</f>
        <v>1.4</v>
      </c>
      <c r="M635" s="15">
        <f>INDEX(卡牌图鉴!$L$2:$L$58,MATCH(monster!C635,卡牌图鉴!$C$2:$C$58,0))</f>
        <v>3</v>
      </c>
      <c r="N635" s="15">
        <f>INDEX(卡牌图鉴!$AD$2:$AD$58,MATCH(monster!C635,卡牌图鉴!$C$2:$C$58,0))</f>
        <v>8</v>
      </c>
      <c r="O635" s="78">
        <v>3</v>
      </c>
    </row>
    <row r="636" spans="1:15" x14ac:dyDescent="0.15">
      <c r="A636" s="53">
        <v>2081</v>
      </c>
      <c r="B636" s="79" t="s">
        <v>2720</v>
      </c>
      <c r="C636" s="53">
        <v>2075</v>
      </c>
      <c r="D636" s="15">
        <f>INDEX(卡牌图鉴!$S$2:$S$58,MATCH(monster!C636,卡牌图鉴!$C$2:$C$58,0))</f>
        <v>1</v>
      </c>
      <c r="E636" s="31">
        <v>6</v>
      </c>
      <c r="F636" s="15">
        <f>INT(INDEX(卡牌图鉴!$AB$2:$AB$58,MATCH(monster!C636,卡牌图鉴!$C$2:$C$58,0)) * INDEX(数值规划表!$B$61:$B$71,monster!E636+1) * 血量调整)</f>
        <v>322</v>
      </c>
      <c r="G636" s="15">
        <f>ROUND(INDEX(卡牌图鉴!$AB$2:$AB$58,MATCH(monster!C636,卡牌图鉴!$C$2:$C$58,0)) * INDEX(数值规划表!$D$61:$D$71,monster!E636+1)*血量调整,2)</f>
        <v>9.69</v>
      </c>
      <c r="H636" s="15">
        <f>ROUND(INDEX(卡牌图鉴!$AA$2:$AA$58,MATCH(monster!C636,卡牌图鉴!$C$2:$C$58,0)) * INDEX(数值规划表!$C$61:$C$71,monster!E636+1),2)</f>
        <v>93.07</v>
      </c>
      <c r="I636" s="15">
        <f>ROUND(INDEX(卡牌图鉴!$AA$2:$AA$58,MATCH(monster!C636,卡牌图鉴!$C$2:$C$58,0)) * INDEX(数值规划表!$E$61:$E$71,monster!E636+1),2)</f>
        <v>2.79</v>
      </c>
      <c r="J636" s="15">
        <f>INDEX(卡牌图鉴!$J$2:$J$58,MATCH(monster!C636,卡牌图鉴!$C$2:$C$58,0))</f>
        <v>5</v>
      </c>
      <c r="K636" s="15">
        <f>INDEX(卡牌图鉴!$S$2:$S$58,MATCH(monster!C636,卡牌图鉴!$C$2:$C$58,0))</f>
        <v>1</v>
      </c>
      <c r="L636" s="15">
        <f>INDEX(卡牌图鉴!$H$2:$H$58,MATCH(monster!C636,卡牌图鉴!$C$2:$C$58,0))</f>
        <v>1.4</v>
      </c>
      <c r="M636" s="15">
        <f>INDEX(卡牌图鉴!$L$2:$L$58,MATCH(monster!C636,卡牌图鉴!$C$2:$C$58,0))</f>
        <v>3</v>
      </c>
      <c r="N636" s="15">
        <f>INDEX(卡牌图鉴!$AD$2:$AD$58,MATCH(monster!C636,卡牌图鉴!$C$2:$C$58,0))</f>
        <v>8</v>
      </c>
      <c r="O636" s="78">
        <v>3</v>
      </c>
    </row>
    <row r="637" spans="1:15" x14ac:dyDescent="0.15">
      <c r="A637" s="53">
        <v>2082</v>
      </c>
      <c r="B637" s="79" t="s">
        <v>2721</v>
      </c>
      <c r="C637" s="53">
        <v>2075</v>
      </c>
      <c r="D637" s="15">
        <f>INDEX(卡牌图鉴!$S$2:$S$58,MATCH(monster!C637,卡牌图鉴!$C$2:$C$58,0))</f>
        <v>1</v>
      </c>
      <c r="E637" s="90">
        <v>7</v>
      </c>
      <c r="F637" s="15">
        <f>INT(INDEX(卡牌图鉴!$AB$2:$AB$58,MATCH(monster!C637,卡牌图鉴!$C$2:$C$58,0)) * INDEX(数值规划表!$B$61:$B$71,monster!E637+1) * 血量调整)</f>
        <v>361</v>
      </c>
      <c r="G637" s="15">
        <f>ROUND(INDEX(卡牌图鉴!$AB$2:$AB$58,MATCH(monster!C637,卡牌图鉴!$C$2:$C$58,0)) * INDEX(数值规划表!$D$61:$D$71,monster!E637+1)*血量调整,2)</f>
        <v>10.85</v>
      </c>
      <c r="H637" s="15">
        <f>ROUND(INDEX(卡牌图鉴!$AA$2:$AA$58,MATCH(monster!C637,卡牌图鉴!$C$2:$C$58,0)) * INDEX(数值规划表!$C$61:$C$71,monster!E637+1),2)</f>
        <v>104.23</v>
      </c>
      <c r="I637" s="15">
        <f>ROUND(INDEX(卡牌图鉴!$AA$2:$AA$58,MATCH(monster!C637,卡牌图鉴!$C$2:$C$58,0)) * INDEX(数值规划表!$E$61:$E$71,monster!E637+1),2)</f>
        <v>3.13</v>
      </c>
      <c r="J637" s="15">
        <f>INDEX(卡牌图鉴!$J$2:$J$58,MATCH(monster!C637,卡牌图鉴!$C$2:$C$58,0))</f>
        <v>5</v>
      </c>
      <c r="K637" s="15">
        <f>INDEX(卡牌图鉴!$S$2:$S$58,MATCH(monster!C637,卡牌图鉴!$C$2:$C$58,0))</f>
        <v>1</v>
      </c>
      <c r="L637" s="15">
        <f>INDEX(卡牌图鉴!$H$2:$H$58,MATCH(monster!C637,卡牌图鉴!$C$2:$C$58,0))</f>
        <v>1.4</v>
      </c>
      <c r="M637" s="15">
        <f>INDEX(卡牌图鉴!$L$2:$L$58,MATCH(monster!C637,卡牌图鉴!$C$2:$C$58,0))</f>
        <v>3</v>
      </c>
      <c r="N637" s="15">
        <f>INDEX(卡牌图鉴!$AD$2:$AD$58,MATCH(monster!C637,卡牌图鉴!$C$2:$C$58,0))</f>
        <v>8</v>
      </c>
      <c r="O637" s="78">
        <v>3</v>
      </c>
    </row>
    <row r="638" spans="1:15" x14ac:dyDescent="0.15">
      <c r="A638" s="53">
        <v>2083</v>
      </c>
      <c r="B638" s="79" t="s">
        <v>2722</v>
      </c>
      <c r="C638" s="53">
        <v>2075</v>
      </c>
      <c r="D638" s="15">
        <f>INDEX(卡牌图鉴!$S$2:$S$58,MATCH(monster!C638,卡牌图鉴!$C$2:$C$58,0))</f>
        <v>1</v>
      </c>
      <c r="E638" s="31">
        <v>8</v>
      </c>
      <c r="F638" s="15">
        <f>INT(INDEX(卡牌图鉴!$AB$2:$AB$58,MATCH(monster!C638,卡牌图鉴!$C$2:$C$58,0)) * INDEX(数值规划表!$B$61:$B$71,monster!E638+1) * 血量调整)</f>
        <v>405</v>
      </c>
      <c r="G638" s="15">
        <f>ROUND(INDEX(卡牌图鉴!$AB$2:$AB$58,MATCH(monster!C638,卡牌图鉴!$C$2:$C$58,0)) * INDEX(数值规划表!$D$61:$D$71,monster!E638+1)*血量调整,2)</f>
        <v>12.15</v>
      </c>
      <c r="H638" s="15">
        <f>ROUND(INDEX(卡牌图鉴!$AA$2:$AA$58,MATCH(monster!C638,卡牌图鉴!$C$2:$C$58,0)) * INDEX(数值规划表!$C$61:$C$71,monster!E638+1),2)</f>
        <v>116.74</v>
      </c>
      <c r="I638" s="15">
        <f>ROUND(INDEX(卡牌图鉴!$AA$2:$AA$58,MATCH(monster!C638,卡牌图鉴!$C$2:$C$58,0)) * INDEX(数值规划表!$E$61:$E$71,monster!E638+1),2)</f>
        <v>3.5</v>
      </c>
      <c r="J638" s="15">
        <f>INDEX(卡牌图鉴!$J$2:$J$58,MATCH(monster!C638,卡牌图鉴!$C$2:$C$58,0))</f>
        <v>5</v>
      </c>
      <c r="K638" s="15">
        <f>INDEX(卡牌图鉴!$S$2:$S$58,MATCH(monster!C638,卡牌图鉴!$C$2:$C$58,0))</f>
        <v>1</v>
      </c>
      <c r="L638" s="15">
        <f>INDEX(卡牌图鉴!$H$2:$H$58,MATCH(monster!C638,卡牌图鉴!$C$2:$C$58,0))</f>
        <v>1.4</v>
      </c>
      <c r="M638" s="15">
        <f>INDEX(卡牌图鉴!$L$2:$L$58,MATCH(monster!C638,卡牌图鉴!$C$2:$C$58,0))</f>
        <v>3</v>
      </c>
      <c r="N638" s="15">
        <f>INDEX(卡牌图鉴!$AD$2:$AD$58,MATCH(monster!C638,卡牌图鉴!$C$2:$C$58,0))</f>
        <v>8</v>
      </c>
      <c r="O638" s="78">
        <v>3</v>
      </c>
    </row>
    <row r="639" spans="1:15" x14ac:dyDescent="0.15">
      <c r="A639" s="53">
        <v>2084</v>
      </c>
      <c r="B639" s="79" t="s">
        <v>2723</v>
      </c>
      <c r="C639" s="53">
        <v>2075</v>
      </c>
      <c r="D639" s="15">
        <f>INDEX(卡牌图鉴!$S$2:$S$58,MATCH(monster!C639,卡牌图鉴!$C$2:$C$58,0))</f>
        <v>1</v>
      </c>
      <c r="E639" s="90">
        <v>9</v>
      </c>
      <c r="F639" s="15">
        <f>INT(INDEX(卡牌图鉴!$AB$2:$AB$58,MATCH(monster!C639,卡牌图鉴!$C$2:$C$58,0)) * INDEX(数值规划表!$B$61:$B$71,monster!E639+1) * 血量调整)</f>
        <v>453</v>
      </c>
      <c r="G639" s="15">
        <f>ROUND(INDEX(卡牌图鉴!$AB$2:$AB$58,MATCH(monster!C639,卡牌图鉴!$C$2:$C$58,0)) * INDEX(数值规划表!$D$61:$D$71,monster!E639+1)*血量调整,2)</f>
        <v>13.61</v>
      </c>
      <c r="H639" s="15">
        <f>ROUND(INDEX(卡牌图鉴!$AA$2:$AA$58,MATCH(monster!C639,卡牌图鉴!$C$2:$C$58,0)) * INDEX(数值规划表!$C$61:$C$71,monster!E639+1),2)</f>
        <v>130.75</v>
      </c>
      <c r="I639" s="15">
        <f>ROUND(INDEX(卡牌图鉴!$AA$2:$AA$58,MATCH(monster!C639,卡牌图鉴!$C$2:$C$58,0)) * INDEX(数值规划表!$E$61:$E$71,monster!E639+1),2)</f>
        <v>3.92</v>
      </c>
      <c r="J639" s="15">
        <f>INDEX(卡牌图鉴!$J$2:$J$58,MATCH(monster!C639,卡牌图鉴!$C$2:$C$58,0))</f>
        <v>5</v>
      </c>
      <c r="K639" s="15">
        <f>INDEX(卡牌图鉴!$S$2:$S$58,MATCH(monster!C639,卡牌图鉴!$C$2:$C$58,0))</f>
        <v>1</v>
      </c>
      <c r="L639" s="15">
        <f>INDEX(卡牌图鉴!$H$2:$H$58,MATCH(monster!C639,卡牌图鉴!$C$2:$C$58,0))</f>
        <v>1.4</v>
      </c>
      <c r="M639" s="15">
        <f>INDEX(卡牌图鉴!$L$2:$L$58,MATCH(monster!C639,卡牌图鉴!$C$2:$C$58,0))</f>
        <v>3</v>
      </c>
      <c r="N639" s="15">
        <f>INDEX(卡牌图鉴!$AD$2:$AD$58,MATCH(monster!C639,卡牌图鉴!$C$2:$C$58,0))</f>
        <v>8</v>
      </c>
      <c r="O639" s="78">
        <v>3</v>
      </c>
    </row>
    <row r="640" spans="1:15" x14ac:dyDescent="0.15">
      <c r="A640" s="53">
        <v>2085</v>
      </c>
      <c r="B640" s="79" t="s">
        <v>2724</v>
      </c>
      <c r="C640" s="53">
        <v>2075</v>
      </c>
      <c r="D640" s="15">
        <f>INDEX(卡牌图鉴!$S$2:$S$58,MATCH(monster!C640,卡牌图鉴!$C$2:$C$58,0))</f>
        <v>1</v>
      </c>
      <c r="E640" s="31">
        <v>10</v>
      </c>
      <c r="F640" s="15">
        <f>INT(INDEX(卡牌图鉴!$AB$2:$AB$58,MATCH(monster!C640,卡牌图鉴!$C$2:$C$58,0)) * INDEX(数值规划表!$B$61:$B$71,monster!E640+1) * 血量调整)</f>
        <v>508</v>
      </c>
      <c r="G640" s="15">
        <f>ROUND(INDEX(卡牌图鉴!$AB$2:$AB$58,MATCH(monster!C640,卡牌图鉴!$C$2:$C$58,0)) * INDEX(数值规划表!$D$61:$D$71,monster!E640+1)*血量调整,2)</f>
        <v>15.25</v>
      </c>
      <c r="H640" s="15">
        <f>ROUND(INDEX(卡牌图鉴!$AA$2:$AA$58,MATCH(monster!C640,卡牌图鉴!$C$2:$C$58,0)) * INDEX(数值规划表!$C$61:$C$71,monster!E640+1),2)</f>
        <v>146.44</v>
      </c>
      <c r="I640" s="15">
        <f>ROUND(INDEX(卡牌图鉴!$AA$2:$AA$58,MATCH(monster!C640,卡牌图鉴!$C$2:$C$58,0)) * INDEX(数值规划表!$E$61:$E$71,monster!E640+1),2)</f>
        <v>4.3899999999999997</v>
      </c>
      <c r="J640" s="15">
        <f>INDEX(卡牌图鉴!$J$2:$J$58,MATCH(monster!C640,卡牌图鉴!$C$2:$C$58,0))</f>
        <v>5</v>
      </c>
      <c r="K640" s="15">
        <f>INDEX(卡牌图鉴!$S$2:$S$58,MATCH(monster!C640,卡牌图鉴!$C$2:$C$58,0))</f>
        <v>1</v>
      </c>
      <c r="L640" s="15">
        <f>INDEX(卡牌图鉴!$H$2:$H$58,MATCH(monster!C640,卡牌图鉴!$C$2:$C$58,0))</f>
        <v>1.4</v>
      </c>
      <c r="M640" s="15">
        <f>INDEX(卡牌图鉴!$L$2:$L$58,MATCH(monster!C640,卡牌图鉴!$C$2:$C$58,0))</f>
        <v>3</v>
      </c>
      <c r="N640" s="15">
        <f>INDEX(卡牌图鉴!$AD$2:$AD$58,MATCH(monster!C640,卡牌图鉴!$C$2:$C$58,0))</f>
        <v>8</v>
      </c>
      <c r="O640" s="78">
        <v>3</v>
      </c>
    </row>
    <row r="641" spans="1:15" x14ac:dyDescent="0.15">
      <c r="A641" s="53">
        <v>2088</v>
      </c>
      <c r="B641" s="79" t="s">
        <v>2180</v>
      </c>
      <c r="C641" s="53">
        <v>2088</v>
      </c>
      <c r="D641" s="15">
        <f>INDEX(卡牌图鉴!$S$2:$S$58,MATCH(monster!C641,卡牌图鉴!$C$2:$C$58,0))</f>
        <v>3</v>
      </c>
      <c r="E641" s="31">
        <v>0</v>
      </c>
      <c r="F641" s="15">
        <f>INT(INDEX(卡牌图鉴!$AB$2:$AB$58,MATCH(monster!C641,卡牌图鉴!$C$2:$C$58,0)) * INDEX(数值规划表!$B$61:$B$71,monster!E641+1) * 血量调整)</f>
        <v>587</v>
      </c>
      <c r="G641" s="15">
        <f>ROUND(INDEX(卡牌图鉴!$AB$2:$AB$58,MATCH(monster!C641,卡牌图鉴!$C$2:$C$58,0)) * INDEX(数值规划表!$D$61:$D$71,monster!E641+1)*血量调整,2)</f>
        <v>17.62</v>
      </c>
      <c r="H641" s="15">
        <f>ROUND(INDEX(卡牌图鉴!$AA$2:$AA$58,MATCH(monster!C641,卡牌图鉴!$C$2:$C$58,0)) * INDEX(数值规划表!$C$61:$C$71,monster!E641+1),2)</f>
        <v>72.98</v>
      </c>
      <c r="I641" s="15">
        <f>ROUND(INDEX(卡牌图鉴!$AA$2:$AA$58,MATCH(monster!C641,卡牌图鉴!$C$2:$C$58,0)) * INDEX(数值规划表!$E$61:$E$71,monster!E641+1),2)</f>
        <v>2.19</v>
      </c>
      <c r="J641" s="15">
        <f>INDEX(卡牌图鉴!$J$2:$J$58,MATCH(monster!C641,卡牌图鉴!$C$2:$C$58,0))</f>
        <v>1.2</v>
      </c>
      <c r="K641" s="15">
        <f>INDEX(卡牌图鉴!$S$2:$S$58,MATCH(monster!C641,卡牌图鉴!$C$2:$C$58,0))</f>
        <v>3</v>
      </c>
      <c r="L641" s="15">
        <f>INDEX(卡牌图鉴!$H$2:$H$58,MATCH(monster!C641,卡牌图鉴!$C$2:$C$58,0))</f>
        <v>1.4</v>
      </c>
      <c r="M641" s="15">
        <f>INDEX(卡牌图鉴!$L$2:$L$58,MATCH(monster!C641,卡牌图鉴!$C$2:$C$58,0))</f>
        <v>4</v>
      </c>
      <c r="N641" s="15">
        <f>INDEX(卡牌图鉴!$AD$2:$AD$58,MATCH(monster!C641,卡牌图鉴!$C$2:$C$58,0))</f>
        <v>8</v>
      </c>
      <c r="O641" s="78">
        <v>4</v>
      </c>
    </row>
    <row r="642" spans="1:15" x14ac:dyDescent="0.15">
      <c r="A642" s="53">
        <v>2089</v>
      </c>
      <c r="B642" s="79" t="s">
        <v>2900</v>
      </c>
      <c r="C642" s="53">
        <v>2088</v>
      </c>
      <c r="D642" s="15">
        <f>INDEX(卡牌图鉴!$S$2:$S$58,MATCH(monster!C642,卡牌图鉴!$C$2:$C$58,0))</f>
        <v>3</v>
      </c>
      <c r="E642" s="90">
        <v>1</v>
      </c>
      <c r="F642" s="15">
        <f>INT(INDEX(卡牌图鉴!$AB$2:$AB$58,MATCH(monster!C642,卡牌图鉴!$C$2:$C$58,0)) * INDEX(数值规划表!$B$61:$B$71,monster!E642+1) * 血量调整)</f>
        <v>657</v>
      </c>
      <c r="G642" s="15">
        <f>ROUND(INDEX(卡牌图鉴!$AB$2:$AB$58,MATCH(monster!C642,卡牌图鉴!$C$2:$C$58,0)) * INDEX(数值规划表!$D$61:$D$71,monster!E642+1)*血量调整,2)</f>
        <v>19.739999999999998</v>
      </c>
      <c r="H642" s="15">
        <f>ROUND(INDEX(卡牌图鉴!$AA$2:$AA$58,MATCH(monster!C642,卡牌图鉴!$C$2:$C$58,0)) * INDEX(数值规划表!$C$61:$C$71,monster!E642+1),2)</f>
        <v>81.739999999999995</v>
      </c>
      <c r="I642" s="15">
        <f>ROUND(INDEX(卡牌图鉴!$AA$2:$AA$58,MATCH(monster!C642,卡牌图鉴!$C$2:$C$58,0)) * INDEX(数值规划表!$E$61:$E$71,monster!E642+1),2)</f>
        <v>2.4500000000000002</v>
      </c>
      <c r="J642" s="15">
        <f>INDEX(卡牌图鉴!$J$2:$J$58,MATCH(monster!C642,卡牌图鉴!$C$2:$C$58,0))</f>
        <v>1.2</v>
      </c>
      <c r="K642" s="15">
        <f>INDEX(卡牌图鉴!$S$2:$S$58,MATCH(monster!C642,卡牌图鉴!$C$2:$C$58,0))</f>
        <v>3</v>
      </c>
      <c r="L642" s="15">
        <f>INDEX(卡牌图鉴!$H$2:$H$58,MATCH(monster!C642,卡牌图鉴!$C$2:$C$58,0))</f>
        <v>1.4</v>
      </c>
      <c r="M642" s="15">
        <f>INDEX(卡牌图鉴!$L$2:$L$58,MATCH(monster!C642,卡牌图鉴!$C$2:$C$58,0))</f>
        <v>4</v>
      </c>
      <c r="N642" s="15">
        <f>INDEX(卡牌图鉴!$AD$2:$AD$58,MATCH(monster!C642,卡牌图鉴!$C$2:$C$58,0))</f>
        <v>8</v>
      </c>
      <c r="O642" s="78">
        <v>4</v>
      </c>
    </row>
    <row r="643" spans="1:15" x14ac:dyDescent="0.15">
      <c r="A643" s="53">
        <v>2090</v>
      </c>
      <c r="B643" s="79" t="s">
        <v>2901</v>
      </c>
      <c r="C643" s="53">
        <v>2088</v>
      </c>
      <c r="D643" s="15">
        <f>INDEX(卡牌图鉴!$S$2:$S$58,MATCH(monster!C643,卡牌图鉴!$C$2:$C$58,0))</f>
        <v>3</v>
      </c>
      <c r="E643" s="31">
        <v>2</v>
      </c>
      <c r="F643" s="15">
        <f>INT(INDEX(卡牌图鉴!$AB$2:$AB$58,MATCH(monster!C643,卡牌图鉴!$C$2:$C$58,0)) * INDEX(数值规划表!$B$61:$B$71,monster!E643+1) * 血量调整)</f>
        <v>736</v>
      </c>
      <c r="G643" s="15">
        <f>ROUND(INDEX(卡牌图鉴!$AB$2:$AB$58,MATCH(monster!C643,卡牌图鉴!$C$2:$C$58,0)) * INDEX(数值规划表!$D$61:$D$71,monster!E643+1)*血量调整,2)</f>
        <v>22.11</v>
      </c>
      <c r="H643" s="15">
        <f>ROUND(INDEX(卡牌图鉴!$AA$2:$AA$58,MATCH(monster!C643,卡牌图鉴!$C$2:$C$58,0)) * INDEX(数值规划表!$C$61:$C$71,monster!E643+1),2)</f>
        <v>91.55</v>
      </c>
      <c r="I643" s="15">
        <f>ROUND(INDEX(卡牌图鉴!$AA$2:$AA$58,MATCH(monster!C643,卡牌图鉴!$C$2:$C$58,0)) * INDEX(数值规划表!$E$61:$E$71,monster!E643+1),2)</f>
        <v>2.75</v>
      </c>
      <c r="J643" s="15">
        <f>INDEX(卡牌图鉴!$J$2:$J$58,MATCH(monster!C643,卡牌图鉴!$C$2:$C$58,0))</f>
        <v>1.2</v>
      </c>
      <c r="K643" s="15">
        <f>INDEX(卡牌图鉴!$S$2:$S$58,MATCH(monster!C643,卡牌图鉴!$C$2:$C$58,0))</f>
        <v>3</v>
      </c>
      <c r="L643" s="15">
        <f>INDEX(卡牌图鉴!$H$2:$H$58,MATCH(monster!C643,卡牌图鉴!$C$2:$C$58,0))</f>
        <v>1.4</v>
      </c>
      <c r="M643" s="15">
        <f>INDEX(卡牌图鉴!$L$2:$L$58,MATCH(monster!C643,卡牌图鉴!$C$2:$C$58,0))</f>
        <v>4</v>
      </c>
      <c r="N643" s="15">
        <f>INDEX(卡牌图鉴!$AD$2:$AD$58,MATCH(monster!C643,卡牌图鉴!$C$2:$C$58,0))</f>
        <v>8</v>
      </c>
      <c r="O643" s="78">
        <v>4</v>
      </c>
    </row>
    <row r="644" spans="1:15" x14ac:dyDescent="0.15">
      <c r="A644" s="53">
        <v>2091</v>
      </c>
      <c r="B644" s="79" t="s">
        <v>2902</v>
      </c>
      <c r="C644" s="53">
        <v>2088</v>
      </c>
      <c r="D644" s="15">
        <f>INDEX(卡牌图鉴!$S$2:$S$58,MATCH(monster!C644,卡牌图鉴!$C$2:$C$58,0))</f>
        <v>3</v>
      </c>
      <c r="E644" s="90">
        <v>3</v>
      </c>
      <c r="F644" s="15">
        <f>INT(INDEX(卡牌图鉴!$AB$2:$AB$58,MATCH(monster!C644,卡牌图鉴!$C$2:$C$58,0)) * INDEX(数值规划表!$B$61:$B$71,monster!E644+1) * 血量调整)</f>
        <v>825</v>
      </c>
      <c r="G644" s="15">
        <f>ROUND(INDEX(卡牌图鉴!$AB$2:$AB$58,MATCH(monster!C644,卡牌图鉴!$C$2:$C$58,0)) * INDEX(数值规划表!$D$61:$D$71,monster!E644+1)*血量调整,2)</f>
        <v>24.76</v>
      </c>
      <c r="H644" s="15">
        <f>ROUND(INDEX(卡牌图鉴!$AA$2:$AA$58,MATCH(monster!C644,卡牌图鉴!$C$2:$C$58,0)) * INDEX(数值规划表!$C$61:$C$71,monster!E644+1),2)</f>
        <v>102.53</v>
      </c>
      <c r="I644" s="15">
        <f>ROUND(INDEX(卡牌图鉴!$AA$2:$AA$58,MATCH(monster!C644,卡牌图鉴!$C$2:$C$58,0)) * INDEX(数值规划表!$E$61:$E$71,monster!E644+1),2)</f>
        <v>3.08</v>
      </c>
      <c r="J644" s="15">
        <f>INDEX(卡牌图鉴!$J$2:$J$58,MATCH(monster!C644,卡牌图鉴!$C$2:$C$58,0))</f>
        <v>1.2</v>
      </c>
      <c r="K644" s="15">
        <f>INDEX(卡牌图鉴!$S$2:$S$58,MATCH(monster!C644,卡牌图鉴!$C$2:$C$58,0))</f>
        <v>3</v>
      </c>
      <c r="L644" s="15">
        <f>INDEX(卡牌图鉴!$H$2:$H$58,MATCH(monster!C644,卡牌图鉴!$C$2:$C$58,0))</f>
        <v>1.4</v>
      </c>
      <c r="M644" s="15">
        <f>INDEX(卡牌图鉴!$L$2:$L$58,MATCH(monster!C644,卡牌图鉴!$C$2:$C$58,0))</f>
        <v>4</v>
      </c>
      <c r="N644" s="15">
        <f>INDEX(卡牌图鉴!$AD$2:$AD$58,MATCH(monster!C644,卡牌图鉴!$C$2:$C$58,0))</f>
        <v>8</v>
      </c>
      <c r="O644" s="78">
        <v>4</v>
      </c>
    </row>
    <row r="645" spans="1:15" x14ac:dyDescent="0.15">
      <c r="A645" s="53">
        <v>2092</v>
      </c>
      <c r="B645" s="79" t="s">
        <v>2903</v>
      </c>
      <c r="C645" s="53">
        <v>2088</v>
      </c>
      <c r="D645" s="15">
        <f>INDEX(卡牌图鉴!$S$2:$S$58,MATCH(monster!C645,卡牌图鉴!$C$2:$C$58,0))</f>
        <v>3</v>
      </c>
      <c r="E645" s="31">
        <v>4</v>
      </c>
      <c r="F645" s="15">
        <f>INT(INDEX(卡牌图鉴!$AB$2:$AB$58,MATCH(monster!C645,卡牌图鉴!$C$2:$C$58,0)) * INDEX(数值规划表!$B$61:$B$71,monster!E645+1) * 血量调整)</f>
        <v>924</v>
      </c>
      <c r="G645" s="15">
        <f>ROUND(INDEX(卡牌图鉴!$AB$2:$AB$58,MATCH(monster!C645,卡牌图鉴!$C$2:$C$58,0)) * INDEX(数值规划表!$D$61:$D$71,monster!E645+1)*血量调整,2)</f>
        <v>27.73</v>
      </c>
      <c r="H645" s="15">
        <f>ROUND(INDEX(卡牌图鉴!$AA$2:$AA$58,MATCH(monster!C645,卡牌图鉴!$C$2:$C$58,0)) * INDEX(数值规划表!$C$61:$C$71,monster!E645+1),2)</f>
        <v>114.84</v>
      </c>
      <c r="I645" s="15">
        <f>ROUND(INDEX(卡牌图鉴!$AA$2:$AA$58,MATCH(monster!C645,卡牌图鉴!$C$2:$C$58,0)) * INDEX(数值规划表!$E$61:$E$71,monster!E645+1),2)</f>
        <v>3.45</v>
      </c>
      <c r="J645" s="15">
        <f>INDEX(卡牌图鉴!$J$2:$J$58,MATCH(monster!C645,卡牌图鉴!$C$2:$C$58,0))</f>
        <v>1.2</v>
      </c>
      <c r="K645" s="15">
        <f>INDEX(卡牌图鉴!$S$2:$S$58,MATCH(monster!C645,卡牌图鉴!$C$2:$C$58,0))</f>
        <v>3</v>
      </c>
      <c r="L645" s="15">
        <f>INDEX(卡牌图鉴!$H$2:$H$58,MATCH(monster!C645,卡牌图鉴!$C$2:$C$58,0))</f>
        <v>1.4</v>
      </c>
      <c r="M645" s="15">
        <f>INDEX(卡牌图鉴!$L$2:$L$58,MATCH(monster!C645,卡牌图鉴!$C$2:$C$58,0))</f>
        <v>4</v>
      </c>
      <c r="N645" s="15">
        <f>INDEX(卡牌图鉴!$AD$2:$AD$58,MATCH(monster!C645,卡牌图鉴!$C$2:$C$58,0))</f>
        <v>8</v>
      </c>
      <c r="O645" s="78">
        <v>4</v>
      </c>
    </row>
    <row r="646" spans="1:15" x14ac:dyDescent="0.15">
      <c r="A646" s="53">
        <v>2093</v>
      </c>
      <c r="B646" s="79" t="s">
        <v>2904</v>
      </c>
      <c r="C646" s="53">
        <v>2088</v>
      </c>
      <c r="D646" s="15">
        <f>INDEX(卡牌图鉴!$S$2:$S$58,MATCH(monster!C646,卡牌图鉴!$C$2:$C$58,0))</f>
        <v>3</v>
      </c>
      <c r="E646" s="90">
        <v>5</v>
      </c>
      <c r="F646" s="15">
        <f>INT(INDEX(卡牌图鉴!$AB$2:$AB$58,MATCH(monster!C646,卡牌图鉴!$C$2:$C$58,0)) * INDEX(数值规划表!$B$61:$B$71,monster!E646+1) * 血量调整)</f>
        <v>1035</v>
      </c>
      <c r="G646" s="15">
        <f>ROUND(INDEX(卡牌图鉴!$AB$2:$AB$58,MATCH(monster!C646,卡牌图鉴!$C$2:$C$58,0)) * INDEX(数值规划表!$D$61:$D$71,monster!E646+1)*血量调整,2)</f>
        <v>31.06</v>
      </c>
      <c r="H646" s="15">
        <f>ROUND(INDEX(卡牌图鉴!$AA$2:$AA$58,MATCH(monster!C646,卡牌图鉴!$C$2:$C$58,0)) * INDEX(数值规划表!$C$61:$C$71,monster!E646+1),2)</f>
        <v>128.62</v>
      </c>
      <c r="I646" s="15">
        <f>ROUND(INDEX(卡牌图鉴!$AA$2:$AA$58,MATCH(monster!C646,卡牌图鉴!$C$2:$C$58,0)) * INDEX(数值规划表!$E$61:$E$71,monster!E646+1),2)</f>
        <v>3.86</v>
      </c>
      <c r="J646" s="15">
        <f>INDEX(卡牌图鉴!$J$2:$J$58,MATCH(monster!C646,卡牌图鉴!$C$2:$C$58,0))</f>
        <v>1.2</v>
      </c>
      <c r="K646" s="15">
        <f>INDEX(卡牌图鉴!$S$2:$S$58,MATCH(monster!C646,卡牌图鉴!$C$2:$C$58,0))</f>
        <v>3</v>
      </c>
      <c r="L646" s="15">
        <f>INDEX(卡牌图鉴!$H$2:$H$58,MATCH(monster!C646,卡牌图鉴!$C$2:$C$58,0))</f>
        <v>1.4</v>
      </c>
      <c r="M646" s="15">
        <f>INDEX(卡牌图鉴!$L$2:$L$58,MATCH(monster!C646,卡牌图鉴!$C$2:$C$58,0))</f>
        <v>4</v>
      </c>
      <c r="N646" s="15">
        <f>INDEX(卡牌图鉴!$AD$2:$AD$58,MATCH(monster!C646,卡牌图鉴!$C$2:$C$58,0))</f>
        <v>8</v>
      </c>
      <c r="O646" s="78">
        <v>4</v>
      </c>
    </row>
    <row r="647" spans="1:15" x14ac:dyDescent="0.15">
      <c r="A647" s="53">
        <v>2094</v>
      </c>
      <c r="B647" s="79" t="s">
        <v>2905</v>
      </c>
      <c r="C647" s="53">
        <v>2088</v>
      </c>
      <c r="D647" s="15">
        <f>INDEX(卡牌图鉴!$S$2:$S$58,MATCH(monster!C647,卡牌图鉴!$C$2:$C$58,0))</f>
        <v>3</v>
      </c>
      <c r="E647" s="31">
        <v>6</v>
      </c>
      <c r="F647" s="15">
        <f>INT(INDEX(卡牌图鉴!$AB$2:$AB$58,MATCH(monster!C647,卡牌图鉴!$C$2:$C$58,0)) * INDEX(数值规划表!$B$61:$B$71,monster!E647+1) * 血量调整)</f>
        <v>1159</v>
      </c>
      <c r="G647" s="15">
        <f>ROUND(INDEX(卡牌图鉴!$AB$2:$AB$58,MATCH(monster!C647,卡牌图鉴!$C$2:$C$58,0)) * INDEX(数值规划表!$D$61:$D$71,monster!E647+1)*血量调整,2)</f>
        <v>34.79</v>
      </c>
      <c r="H647" s="15">
        <f>ROUND(INDEX(卡牌图鉴!$AA$2:$AA$58,MATCH(monster!C647,卡牌图鉴!$C$2:$C$58,0)) * INDEX(数值规划表!$C$61:$C$71,monster!E647+1),2)</f>
        <v>144.05000000000001</v>
      </c>
      <c r="I647" s="15">
        <f>ROUND(INDEX(卡牌图鉴!$AA$2:$AA$58,MATCH(monster!C647,卡牌图鉴!$C$2:$C$58,0)) * INDEX(数值规划表!$E$61:$E$71,monster!E647+1),2)</f>
        <v>4.32</v>
      </c>
      <c r="J647" s="15">
        <f>INDEX(卡牌图鉴!$J$2:$J$58,MATCH(monster!C647,卡牌图鉴!$C$2:$C$58,0))</f>
        <v>1.2</v>
      </c>
      <c r="K647" s="15">
        <f>INDEX(卡牌图鉴!$S$2:$S$58,MATCH(monster!C647,卡牌图鉴!$C$2:$C$58,0))</f>
        <v>3</v>
      </c>
      <c r="L647" s="15">
        <f>INDEX(卡牌图鉴!$H$2:$H$58,MATCH(monster!C647,卡牌图鉴!$C$2:$C$58,0))</f>
        <v>1.4</v>
      </c>
      <c r="M647" s="15">
        <f>INDEX(卡牌图鉴!$L$2:$L$58,MATCH(monster!C647,卡牌图鉴!$C$2:$C$58,0))</f>
        <v>4</v>
      </c>
      <c r="N647" s="15">
        <f>INDEX(卡牌图鉴!$AD$2:$AD$58,MATCH(monster!C647,卡牌图鉴!$C$2:$C$58,0))</f>
        <v>8</v>
      </c>
      <c r="O647" s="78">
        <v>4</v>
      </c>
    </row>
    <row r="648" spans="1:15" x14ac:dyDescent="0.15">
      <c r="A648" s="53">
        <v>2095</v>
      </c>
      <c r="B648" s="79" t="s">
        <v>2906</v>
      </c>
      <c r="C648" s="53">
        <v>2088</v>
      </c>
      <c r="D648" s="15">
        <f>INDEX(卡牌图鉴!$S$2:$S$58,MATCH(monster!C648,卡牌图鉴!$C$2:$C$58,0))</f>
        <v>3</v>
      </c>
      <c r="E648" s="90">
        <v>7</v>
      </c>
      <c r="F648" s="15">
        <f>INT(INDEX(卡牌图鉴!$AB$2:$AB$58,MATCH(monster!C648,卡牌图鉴!$C$2:$C$58,0)) * INDEX(数值规划表!$B$61:$B$71,monster!E648+1) * 血量调整)</f>
        <v>1298</v>
      </c>
      <c r="G648" s="15">
        <f>ROUND(INDEX(卡牌图鉴!$AB$2:$AB$58,MATCH(monster!C648,卡牌图鉴!$C$2:$C$58,0)) * INDEX(数值规划表!$D$61:$D$71,monster!E648+1)*血量调整,2)</f>
        <v>38.96</v>
      </c>
      <c r="H648" s="15">
        <f>ROUND(INDEX(卡牌图鉴!$AA$2:$AA$58,MATCH(monster!C648,卡牌图鉴!$C$2:$C$58,0)) * INDEX(数值规划表!$C$61:$C$71,monster!E648+1),2)</f>
        <v>161.34</v>
      </c>
      <c r="I648" s="15">
        <f>ROUND(INDEX(卡牌图鉴!$AA$2:$AA$58,MATCH(monster!C648,卡牌图鉴!$C$2:$C$58,0)) * INDEX(数值规划表!$E$61:$E$71,monster!E648+1),2)</f>
        <v>4.84</v>
      </c>
      <c r="J648" s="15">
        <f>INDEX(卡牌图鉴!$J$2:$J$58,MATCH(monster!C648,卡牌图鉴!$C$2:$C$58,0))</f>
        <v>1.2</v>
      </c>
      <c r="K648" s="15">
        <f>INDEX(卡牌图鉴!$S$2:$S$58,MATCH(monster!C648,卡牌图鉴!$C$2:$C$58,0))</f>
        <v>3</v>
      </c>
      <c r="L648" s="15">
        <f>INDEX(卡牌图鉴!$H$2:$H$58,MATCH(monster!C648,卡牌图鉴!$C$2:$C$58,0))</f>
        <v>1.4</v>
      </c>
      <c r="M648" s="15">
        <f>INDEX(卡牌图鉴!$L$2:$L$58,MATCH(monster!C648,卡牌图鉴!$C$2:$C$58,0))</f>
        <v>4</v>
      </c>
      <c r="N648" s="15">
        <f>INDEX(卡牌图鉴!$AD$2:$AD$58,MATCH(monster!C648,卡牌图鉴!$C$2:$C$58,0))</f>
        <v>8</v>
      </c>
      <c r="O648" s="78">
        <v>4</v>
      </c>
    </row>
    <row r="649" spans="1:15" x14ac:dyDescent="0.15">
      <c r="A649" s="53">
        <v>2096</v>
      </c>
      <c r="B649" s="79" t="s">
        <v>2907</v>
      </c>
      <c r="C649" s="53">
        <v>2088</v>
      </c>
      <c r="D649" s="15">
        <f>INDEX(卡牌图鉴!$S$2:$S$58,MATCH(monster!C649,卡牌图鉴!$C$2:$C$58,0))</f>
        <v>3</v>
      </c>
      <c r="E649" s="31">
        <v>8</v>
      </c>
      <c r="F649" s="15">
        <f>INT(INDEX(卡牌图鉴!$AB$2:$AB$58,MATCH(monster!C649,卡牌图鉴!$C$2:$C$58,0)) * INDEX(数值规划表!$B$61:$B$71,monster!E649+1) * 血量调整)</f>
        <v>1454</v>
      </c>
      <c r="G649" s="15">
        <f>ROUND(INDEX(卡牌图鉴!$AB$2:$AB$58,MATCH(monster!C649,卡牌图鉴!$C$2:$C$58,0)) * INDEX(数值规划表!$D$61:$D$71,monster!E649+1)*血量调整,2)</f>
        <v>43.64</v>
      </c>
      <c r="H649" s="15">
        <f>ROUND(INDEX(卡牌图鉴!$AA$2:$AA$58,MATCH(monster!C649,卡牌图鉴!$C$2:$C$58,0)) * INDEX(数值规划表!$C$61:$C$71,monster!E649+1),2)</f>
        <v>180.7</v>
      </c>
      <c r="I649" s="15">
        <f>ROUND(INDEX(卡牌图鉴!$AA$2:$AA$58,MATCH(monster!C649,卡牌图鉴!$C$2:$C$58,0)) * INDEX(数值规划表!$E$61:$E$71,monster!E649+1),2)</f>
        <v>5.42</v>
      </c>
      <c r="J649" s="15">
        <f>INDEX(卡牌图鉴!$J$2:$J$58,MATCH(monster!C649,卡牌图鉴!$C$2:$C$58,0))</f>
        <v>1.2</v>
      </c>
      <c r="K649" s="15">
        <f>INDEX(卡牌图鉴!$S$2:$S$58,MATCH(monster!C649,卡牌图鉴!$C$2:$C$58,0))</f>
        <v>3</v>
      </c>
      <c r="L649" s="15">
        <f>INDEX(卡牌图鉴!$H$2:$H$58,MATCH(monster!C649,卡牌图鉴!$C$2:$C$58,0))</f>
        <v>1.4</v>
      </c>
      <c r="M649" s="15">
        <f>INDEX(卡牌图鉴!$L$2:$L$58,MATCH(monster!C649,卡牌图鉴!$C$2:$C$58,0))</f>
        <v>4</v>
      </c>
      <c r="N649" s="15">
        <f>INDEX(卡牌图鉴!$AD$2:$AD$58,MATCH(monster!C649,卡牌图鉴!$C$2:$C$58,0))</f>
        <v>8</v>
      </c>
      <c r="O649" s="78">
        <v>4</v>
      </c>
    </row>
    <row r="650" spans="1:15" x14ac:dyDescent="0.15">
      <c r="A650" s="53">
        <v>2097</v>
      </c>
      <c r="B650" s="79" t="s">
        <v>2908</v>
      </c>
      <c r="C650" s="53">
        <v>2088</v>
      </c>
      <c r="D650" s="15">
        <f>INDEX(卡牌图鉴!$S$2:$S$58,MATCH(monster!C650,卡牌图鉴!$C$2:$C$58,0))</f>
        <v>3</v>
      </c>
      <c r="E650" s="90">
        <v>9</v>
      </c>
      <c r="F650" s="15">
        <f>INT(INDEX(卡牌图鉴!$AB$2:$AB$58,MATCH(monster!C650,卡牌图鉴!$C$2:$C$58,0)) * INDEX(数值规划表!$B$61:$B$71,monster!E650+1) * 血量调整)</f>
        <v>1629</v>
      </c>
      <c r="G650" s="15">
        <f>ROUND(INDEX(卡牌图鉴!$AB$2:$AB$58,MATCH(monster!C650,卡牌图鉴!$C$2:$C$58,0)) * INDEX(数值规划表!$D$61:$D$71,monster!E650+1)*血量调整,2)</f>
        <v>48.87</v>
      </c>
      <c r="H650" s="15">
        <f>ROUND(INDEX(卡牌图鉴!$AA$2:$AA$58,MATCH(monster!C650,卡牌图鉴!$C$2:$C$58,0)) * INDEX(数值规划表!$C$61:$C$71,monster!E650+1),2)</f>
        <v>202.38</v>
      </c>
      <c r="I650" s="15">
        <f>ROUND(INDEX(卡牌图鉴!$AA$2:$AA$58,MATCH(monster!C650,卡牌图鉴!$C$2:$C$58,0)) * INDEX(数值规划表!$E$61:$E$71,monster!E650+1),2)</f>
        <v>6.07</v>
      </c>
      <c r="J650" s="15">
        <f>INDEX(卡牌图鉴!$J$2:$J$58,MATCH(monster!C650,卡牌图鉴!$C$2:$C$58,0))</f>
        <v>1.2</v>
      </c>
      <c r="K650" s="15">
        <f>INDEX(卡牌图鉴!$S$2:$S$58,MATCH(monster!C650,卡牌图鉴!$C$2:$C$58,0))</f>
        <v>3</v>
      </c>
      <c r="L650" s="15">
        <f>INDEX(卡牌图鉴!$H$2:$H$58,MATCH(monster!C650,卡牌图鉴!$C$2:$C$58,0))</f>
        <v>1.4</v>
      </c>
      <c r="M650" s="15">
        <f>INDEX(卡牌图鉴!$L$2:$L$58,MATCH(monster!C650,卡牌图鉴!$C$2:$C$58,0))</f>
        <v>4</v>
      </c>
      <c r="N650" s="15">
        <f>INDEX(卡牌图鉴!$AD$2:$AD$58,MATCH(monster!C650,卡牌图鉴!$C$2:$C$58,0))</f>
        <v>8</v>
      </c>
      <c r="O650" s="78">
        <v>4</v>
      </c>
    </row>
    <row r="651" spans="1:15" x14ac:dyDescent="0.15">
      <c r="A651" s="53">
        <v>2098</v>
      </c>
      <c r="B651" s="79" t="s">
        <v>2909</v>
      </c>
      <c r="C651" s="53">
        <v>2088</v>
      </c>
      <c r="D651" s="15">
        <f>INDEX(卡牌图鉴!$S$2:$S$58,MATCH(monster!C651,卡牌图鉴!$C$2:$C$58,0))</f>
        <v>3</v>
      </c>
      <c r="E651" s="31">
        <v>10</v>
      </c>
      <c r="F651" s="15">
        <f>INT(INDEX(卡牌图鉴!$AB$2:$AB$58,MATCH(monster!C651,卡牌图鉴!$C$2:$C$58,0)) * INDEX(数值规划表!$B$61:$B$71,monster!E651+1) * 血量调整)</f>
        <v>1824</v>
      </c>
      <c r="G651" s="15">
        <f>ROUND(INDEX(卡牌图鉴!$AB$2:$AB$58,MATCH(monster!C651,卡牌图鉴!$C$2:$C$58,0)) * INDEX(数值规划表!$D$61:$D$71,monster!E651+1)*血量调整,2)</f>
        <v>54.74</v>
      </c>
      <c r="H651" s="15">
        <f>ROUND(INDEX(卡牌图鉴!$AA$2:$AA$58,MATCH(monster!C651,卡牌图鉴!$C$2:$C$58,0)) * INDEX(数值规划表!$C$61:$C$71,monster!E651+1),2)</f>
        <v>226.66</v>
      </c>
      <c r="I651" s="15">
        <f>ROUND(INDEX(卡牌图鉴!$AA$2:$AA$58,MATCH(monster!C651,卡牌图鉴!$C$2:$C$58,0)) * INDEX(数值规划表!$E$61:$E$71,monster!E651+1),2)</f>
        <v>6.8</v>
      </c>
      <c r="J651" s="15">
        <f>INDEX(卡牌图鉴!$J$2:$J$58,MATCH(monster!C651,卡牌图鉴!$C$2:$C$58,0))</f>
        <v>1.2</v>
      </c>
      <c r="K651" s="15">
        <f>INDEX(卡牌图鉴!$S$2:$S$58,MATCH(monster!C651,卡牌图鉴!$C$2:$C$58,0))</f>
        <v>3</v>
      </c>
      <c r="L651" s="15">
        <f>INDEX(卡牌图鉴!$H$2:$H$58,MATCH(monster!C651,卡牌图鉴!$C$2:$C$58,0))</f>
        <v>1.4</v>
      </c>
      <c r="M651" s="15">
        <f>INDEX(卡牌图鉴!$L$2:$L$58,MATCH(monster!C651,卡牌图鉴!$C$2:$C$58,0))</f>
        <v>4</v>
      </c>
      <c r="N651" s="15">
        <f>INDEX(卡牌图鉴!$AD$2:$AD$58,MATCH(monster!C651,卡牌图鉴!$C$2:$C$58,0))</f>
        <v>8</v>
      </c>
      <c r="O651" s="78">
        <v>4</v>
      </c>
    </row>
    <row r="652" spans="1:15" x14ac:dyDescent="0.15">
      <c r="A652" s="53">
        <v>2099</v>
      </c>
      <c r="B652" s="79" t="s">
        <v>2918</v>
      </c>
      <c r="C652" s="53">
        <v>2099</v>
      </c>
      <c r="D652" s="15">
        <f>INDEX(卡牌图鉴!$S$2:$S$58,MATCH(monster!C652,卡牌图鉴!$C$2:$C$58,0))</f>
        <v>1</v>
      </c>
      <c r="E652" s="31">
        <v>0</v>
      </c>
      <c r="F652" s="15">
        <f>INT(INDEX(卡牌图鉴!$AB$2:$AB$58,MATCH(monster!C652,卡牌图鉴!$C$2:$C$58,0)) * INDEX(数值规划表!$B$61:$B$71,monster!E652+1) * 血量调整)</f>
        <v>97</v>
      </c>
      <c r="G652" s="15">
        <f>ROUND(INDEX(卡牌图鉴!$AB$2:$AB$58,MATCH(monster!C652,卡牌图鉴!$C$2:$C$58,0)) * INDEX(数值规划表!$D$61:$D$71,monster!E652+1)*血量调整,2)</f>
        <v>2.93</v>
      </c>
      <c r="H652" s="15">
        <f>ROUND(INDEX(卡牌图鉴!$AA$2:$AA$58,MATCH(monster!C652,卡牌图鉴!$C$2:$C$58,0)) * INDEX(数值规划表!$C$61:$C$71,monster!E652+1),2)</f>
        <v>38.35</v>
      </c>
      <c r="I652" s="15">
        <f>ROUND(INDEX(卡牌图鉴!$AA$2:$AA$58,MATCH(monster!C652,卡牌图鉴!$C$2:$C$58,0)) * INDEX(数值规划表!$E$61:$E$71,monster!E652+1),2)</f>
        <v>1.1499999999999999</v>
      </c>
      <c r="J652" s="15">
        <f>INDEX(卡牌图鉴!$J$2:$J$58,MATCH(monster!C652,卡牌图鉴!$C$2:$C$58,0))</f>
        <v>6</v>
      </c>
      <c r="K652" s="15">
        <f>INDEX(卡牌图鉴!$S$2:$S$58,MATCH(monster!C652,卡牌图鉴!$C$2:$C$58,0))</f>
        <v>1</v>
      </c>
      <c r="L652" s="15">
        <f>INDEX(卡牌图鉴!$H$2:$H$58,MATCH(monster!C652,卡牌图鉴!$C$2:$C$58,0))</f>
        <v>1.4</v>
      </c>
      <c r="M652" s="15">
        <f>INDEX(卡牌图鉴!$L$2:$L$58,MATCH(monster!C652,卡牌图鉴!$C$2:$C$58,0))</f>
        <v>2</v>
      </c>
      <c r="N652" s="15">
        <f>INDEX(卡牌图鉴!$AD$2:$AD$58,MATCH(monster!C652,卡牌图鉴!$C$2:$C$58,0))</f>
        <v>8</v>
      </c>
      <c r="O652" s="78">
        <v>2</v>
      </c>
    </row>
    <row r="653" spans="1:15" x14ac:dyDescent="0.15">
      <c r="A653" s="53">
        <v>2100</v>
      </c>
      <c r="B653" s="79" t="s">
        <v>2919</v>
      </c>
      <c r="C653" s="53">
        <v>2099</v>
      </c>
      <c r="D653" s="15">
        <f>INDEX(卡牌图鉴!$S$2:$S$58,MATCH(monster!C653,卡牌图鉴!$C$2:$C$58,0))</f>
        <v>1</v>
      </c>
      <c r="E653" s="90">
        <v>1</v>
      </c>
      <c r="F653" s="15">
        <f>INT(INDEX(卡牌图鉴!$AB$2:$AB$58,MATCH(monster!C653,卡牌图鉴!$C$2:$C$58,0)) * INDEX(数值规划表!$B$61:$B$71,monster!E653+1) * 血量调整)</f>
        <v>109</v>
      </c>
      <c r="G653" s="15">
        <f>ROUND(INDEX(卡牌图鉴!$AB$2:$AB$58,MATCH(monster!C653,卡牌图鉴!$C$2:$C$58,0)) * INDEX(数值规划表!$D$61:$D$71,monster!E653+1)*血量调整,2)</f>
        <v>3.29</v>
      </c>
      <c r="H653" s="15">
        <f>ROUND(INDEX(卡牌图鉴!$AA$2:$AA$58,MATCH(monster!C653,卡牌图鉴!$C$2:$C$58,0)) * INDEX(数值规划表!$C$61:$C$71,monster!E653+1),2)</f>
        <v>42.95</v>
      </c>
      <c r="I653" s="15">
        <f>ROUND(INDEX(卡牌图鉴!$AA$2:$AA$58,MATCH(monster!C653,卡牌图鉴!$C$2:$C$58,0)) * INDEX(数值规划表!$E$61:$E$71,monster!E653+1),2)</f>
        <v>1.29</v>
      </c>
      <c r="J653" s="15">
        <f>INDEX(卡牌图鉴!$J$2:$J$58,MATCH(monster!C653,卡牌图鉴!$C$2:$C$58,0))</f>
        <v>6</v>
      </c>
      <c r="K653" s="15">
        <f>INDEX(卡牌图鉴!$S$2:$S$58,MATCH(monster!C653,卡牌图鉴!$C$2:$C$58,0))</f>
        <v>1</v>
      </c>
      <c r="L653" s="15">
        <f>INDEX(卡牌图鉴!$H$2:$H$58,MATCH(monster!C653,卡牌图鉴!$C$2:$C$58,0))</f>
        <v>1.4</v>
      </c>
      <c r="M653" s="15">
        <f>INDEX(卡牌图鉴!$L$2:$L$58,MATCH(monster!C653,卡牌图鉴!$C$2:$C$58,0))</f>
        <v>2</v>
      </c>
      <c r="N653" s="15">
        <f>INDEX(卡牌图鉴!$AD$2:$AD$58,MATCH(monster!C653,卡牌图鉴!$C$2:$C$58,0))</f>
        <v>8</v>
      </c>
      <c r="O653" s="78">
        <v>2</v>
      </c>
    </row>
    <row r="654" spans="1:15" x14ac:dyDescent="0.15">
      <c r="A654" s="53">
        <v>2101</v>
      </c>
      <c r="B654" s="79" t="s">
        <v>2920</v>
      </c>
      <c r="C654" s="53">
        <v>2099</v>
      </c>
      <c r="D654" s="15">
        <f>INDEX(卡牌图鉴!$S$2:$S$58,MATCH(monster!C654,卡牌图鉴!$C$2:$C$58,0))</f>
        <v>1</v>
      </c>
      <c r="E654" s="31">
        <v>2</v>
      </c>
      <c r="F654" s="15">
        <f>INT(INDEX(卡牌图鉴!$AB$2:$AB$58,MATCH(monster!C654,卡牌图鉴!$C$2:$C$58,0)) * INDEX(数值规划表!$B$61:$B$71,monster!E654+1) * 血量调整)</f>
        <v>122</v>
      </c>
      <c r="G654" s="15">
        <f>ROUND(INDEX(卡牌图鉴!$AB$2:$AB$58,MATCH(monster!C654,卡牌图鉴!$C$2:$C$58,0)) * INDEX(数值规划表!$D$61:$D$71,monster!E654+1)*血量调整,2)</f>
        <v>3.68</v>
      </c>
      <c r="H654" s="15">
        <f>ROUND(INDEX(卡牌图鉴!$AA$2:$AA$58,MATCH(monster!C654,卡牌图鉴!$C$2:$C$58,0)) * INDEX(数值规划表!$C$61:$C$71,monster!E654+1),2)</f>
        <v>48.11</v>
      </c>
      <c r="I654" s="15">
        <f>ROUND(INDEX(卡牌图鉴!$AA$2:$AA$58,MATCH(monster!C654,卡牌图鉴!$C$2:$C$58,0)) * INDEX(数值规划表!$E$61:$E$71,monster!E654+1),2)</f>
        <v>1.44</v>
      </c>
      <c r="J654" s="15">
        <f>INDEX(卡牌图鉴!$J$2:$J$58,MATCH(monster!C654,卡牌图鉴!$C$2:$C$58,0))</f>
        <v>6</v>
      </c>
      <c r="K654" s="15">
        <f>INDEX(卡牌图鉴!$S$2:$S$58,MATCH(monster!C654,卡牌图鉴!$C$2:$C$58,0))</f>
        <v>1</v>
      </c>
      <c r="L654" s="15">
        <f>INDEX(卡牌图鉴!$H$2:$H$58,MATCH(monster!C654,卡牌图鉴!$C$2:$C$58,0))</f>
        <v>1.4</v>
      </c>
      <c r="M654" s="15">
        <f>INDEX(卡牌图鉴!$L$2:$L$58,MATCH(monster!C654,卡牌图鉴!$C$2:$C$58,0))</f>
        <v>2</v>
      </c>
      <c r="N654" s="15">
        <f>INDEX(卡牌图鉴!$AD$2:$AD$58,MATCH(monster!C654,卡牌图鉴!$C$2:$C$58,0))</f>
        <v>8</v>
      </c>
      <c r="O654" s="78">
        <v>2</v>
      </c>
    </row>
    <row r="655" spans="1:15" x14ac:dyDescent="0.15">
      <c r="A655" s="53">
        <v>2102</v>
      </c>
      <c r="B655" s="79" t="s">
        <v>2921</v>
      </c>
      <c r="C655" s="53">
        <v>2099</v>
      </c>
      <c r="D655" s="15">
        <f>INDEX(卡牌图鉴!$S$2:$S$58,MATCH(monster!C655,卡牌图鉴!$C$2:$C$58,0))</f>
        <v>1</v>
      </c>
      <c r="E655" s="90">
        <v>3</v>
      </c>
      <c r="F655" s="15">
        <f>INT(INDEX(卡牌图鉴!$AB$2:$AB$58,MATCH(monster!C655,卡牌图鉴!$C$2:$C$58,0)) * INDEX(数值规划表!$B$61:$B$71,monster!E655+1) * 血量调整)</f>
        <v>137</v>
      </c>
      <c r="G655" s="15">
        <f>ROUND(INDEX(卡牌图鉴!$AB$2:$AB$58,MATCH(monster!C655,卡牌图鉴!$C$2:$C$58,0)) * INDEX(数值规划表!$D$61:$D$71,monster!E655+1)*血量调整,2)</f>
        <v>4.12</v>
      </c>
      <c r="H655" s="15">
        <f>ROUND(INDEX(卡牌图鉴!$AA$2:$AA$58,MATCH(monster!C655,卡牌图鉴!$C$2:$C$58,0)) * INDEX(数值规划表!$C$61:$C$71,monster!E655+1),2)</f>
        <v>53.88</v>
      </c>
      <c r="I655" s="15">
        <f>ROUND(INDEX(卡牌图鉴!$AA$2:$AA$58,MATCH(monster!C655,卡牌图鉴!$C$2:$C$58,0)) * INDEX(数值规划表!$E$61:$E$71,monster!E655+1),2)</f>
        <v>1.62</v>
      </c>
      <c r="J655" s="15">
        <f>INDEX(卡牌图鉴!$J$2:$J$58,MATCH(monster!C655,卡牌图鉴!$C$2:$C$58,0))</f>
        <v>6</v>
      </c>
      <c r="K655" s="15">
        <f>INDEX(卡牌图鉴!$S$2:$S$58,MATCH(monster!C655,卡牌图鉴!$C$2:$C$58,0))</f>
        <v>1</v>
      </c>
      <c r="L655" s="15">
        <f>INDEX(卡牌图鉴!$H$2:$H$58,MATCH(monster!C655,卡牌图鉴!$C$2:$C$58,0))</f>
        <v>1.4</v>
      </c>
      <c r="M655" s="15">
        <f>INDEX(卡牌图鉴!$L$2:$L$58,MATCH(monster!C655,卡牌图鉴!$C$2:$C$58,0))</f>
        <v>2</v>
      </c>
      <c r="N655" s="15">
        <f>INDEX(卡牌图鉴!$AD$2:$AD$58,MATCH(monster!C655,卡牌图鉴!$C$2:$C$58,0))</f>
        <v>8</v>
      </c>
      <c r="O655" s="78">
        <v>2</v>
      </c>
    </row>
    <row r="656" spans="1:15" x14ac:dyDescent="0.15">
      <c r="A656" s="53">
        <v>2103</v>
      </c>
      <c r="B656" s="79" t="s">
        <v>2922</v>
      </c>
      <c r="C656" s="53">
        <v>2099</v>
      </c>
      <c r="D656" s="15">
        <f>INDEX(卡牌图鉴!$S$2:$S$58,MATCH(monster!C656,卡牌图鉴!$C$2:$C$58,0))</f>
        <v>1</v>
      </c>
      <c r="E656" s="31">
        <v>4</v>
      </c>
      <c r="F656" s="15">
        <f>INT(INDEX(卡牌图鉴!$AB$2:$AB$58,MATCH(monster!C656,卡牌图鉴!$C$2:$C$58,0)) * INDEX(数值规划表!$B$61:$B$71,monster!E656+1) * 血量调整)</f>
        <v>153</v>
      </c>
      <c r="G656" s="15">
        <f>ROUND(INDEX(卡牌图鉴!$AB$2:$AB$58,MATCH(monster!C656,卡牌图鉴!$C$2:$C$58,0)) * INDEX(数值规划表!$D$61:$D$71,monster!E656+1)*血量调整,2)</f>
        <v>4.62</v>
      </c>
      <c r="H656" s="15">
        <f>ROUND(INDEX(卡牌图鉴!$AA$2:$AA$58,MATCH(monster!C656,卡牌图鉴!$C$2:$C$58,0)) * INDEX(数值规划表!$C$61:$C$71,monster!E656+1),2)</f>
        <v>60.34</v>
      </c>
      <c r="I656" s="15">
        <f>ROUND(INDEX(卡牌图鉴!$AA$2:$AA$58,MATCH(monster!C656,卡牌图鉴!$C$2:$C$58,0)) * INDEX(数值规划表!$E$61:$E$71,monster!E656+1),2)</f>
        <v>1.81</v>
      </c>
      <c r="J656" s="15">
        <f>INDEX(卡牌图鉴!$J$2:$J$58,MATCH(monster!C656,卡牌图鉴!$C$2:$C$58,0))</f>
        <v>6</v>
      </c>
      <c r="K656" s="15">
        <f>INDEX(卡牌图鉴!$S$2:$S$58,MATCH(monster!C656,卡牌图鉴!$C$2:$C$58,0))</f>
        <v>1</v>
      </c>
      <c r="L656" s="15">
        <f>INDEX(卡牌图鉴!$H$2:$H$58,MATCH(monster!C656,卡牌图鉴!$C$2:$C$58,0))</f>
        <v>1.4</v>
      </c>
      <c r="M656" s="15">
        <f>INDEX(卡牌图鉴!$L$2:$L$58,MATCH(monster!C656,卡牌图鉴!$C$2:$C$58,0))</f>
        <v>2</v>
      </c>
      <c r="N656" s="15">
        <f>INDEX(卡牌图鉴!$AD$2:$AD$58,MATCH(monster!C656,卡牌图鉴!$C$2:$C$58,0))</f>
        <v>8</v>
      </c>
      <c r="O656" s="78">
        <v>2</v>
      </c>
    </row>
    <row r="657" spans="1:15" x14ac:dyDescent="0.15">
      <c r="A657" s="53">
        <v>2104</v>
      </c>
      <c r="B657" s="79" t="s">
        <v>2923</v>
      </c>
      <c r="C657" s="53">
        <v>2099</v>
      </c>
      <c r="D657" s="15">
        <f>INDEX(卡牌图鉴!$S$2:$S$58,MATCH(monster!C657,卡牌图鉴!$C$2:$C$58,0))</f>
        <v>1</v>
      </c>
      <c r="E657" s="90">
        <v>5</v>
      </c>
      <c r="F657" s="15">
        <f>INT(INDEX(卡牌图鉴!$AB$2:$AB$58,MATCH(monster!C657,卡牌图鉴!$C$2:$C$58,0)) * INDEX(数值规划表!$B$61:$B$71,monster!E657+1) * 血量调整)</f>
        <v>172</v>
      </c>
      <c r="G657" s="15">
        <f>ROUND(INDEX(卡牌图鉴!$AB$2:$AB$58,MATCH(monster!C657,卡牌图鉴!$C$2:$C$58,0)) * INDEX(数值规划表!$D$61:$D$71,monster!E657+1)*血量调整,2)</f>
        <v>5.17</v>
      </c>
      <c r="H657" s="15">
        <f>ROUND(INDEX(卡牌图鉴!$AA$2:$AA$58,MATCH(monster!C657,卡牌图鉴!$C$2:$C$58,0)) * INDEX(数值规划表!$C$61:$C$71,monster!E657+1),2)</f>
        <v>67.59</v>
      </c>
      <c r="I657" s="15">
        <f>ROUND(INDEX(卡牌图鉴!$AA$2:$AA$58,MATCH(monster!C657,卡牌图鉴!$C$2:$C$58,0)) * INDEX(数值规划表!$E$61:$E$71,monster!E657+1),2)</f>
        <v>2.0299999999999998</v>
      </c>
      <c r="J657" s="15">
        <f>INDEX(卡牌图鉴!$J$2:$J$58,MATCH(monster!C657,卡牌图鉴!$C$2:$C$58,0))</f>
        <v>6</v>
      </c>
      <c r="K657" s="15">
        <f>INDEX(卡牌图鉴!$S$2:$S$58,MATCH(monster!C657,卡牌图鉴!$C$2:$C$58,0))</f>
        <v>1</v>
      </c>
      <c r="L657" s="15">
        <f>INDEX(卡牌图鉴!$H$2:$H$58,MATCH(monster!C657,卡牌图鉴!$C$2:$C$58,0))</f>
        <v>1.4</v>
      </c>
      <c r="M657" s="15">
        <f>INDEX(卡牌图鉴!$L$2:$L$58,MATCH(monster!C657,卡牌图鉴!$C$2:$C$58,0))</f>
        <v>2</v>
      </c>
      <c r="N657" s="15">
        <f>INDEX(卡牌图鉴!$AD$2:$AD$58,MATCH(monster!C657,卡牌图鉴!$C$2:$C$58,0))</f>
        <v>8</v>
      </c>
      <c r="O657" s="78">
        <v>2</v>
      </c>
    </row>
    <row r="658" spans="1:15" x14ac:dyDescent="0.15">
      <c r="A658" s="53">
        <v>2105</v>
      </c>
      <c r="B658" s="79" t="s">
        <v>2924</v>
      </c>
      <c r="C658" s="53">
        <v>2099</v>
      </c>
      <c r="D658" s="15">
        <f>INDEX(卡牌图鉴!$S$2:$S$58,MATCH(monster!C658,卡牌图鉴!$C$2:$C$58,0))</f>
        <v>1</v>
      </c>
      <c r="E658" s="31">
        <v>6</v>
      </c>
      <c r="F658" s="15">
        <f>INT(INDEX(卡牌图鉴!$AB$2:$AB$58,MATCH(monster!C658,卡牌图鉴!$C$2:$C$58,0)) * INDEX(数值规划表!$B$61:$B$71,monster!E658+1) * 血量调整)</f>
        <v>193</v>
      </c>
      <c r="G658" s="15">
        <f>ROUND(INDEX(卡牌图鉴!$AB$2:$AB$58,MATCH(monster!C658,卡牌图鉴!$C$2:$C$58,0)) * INDEX(数值规划表!$D$61:$D$71,monster!E658+1)*血量调整,2)</f>
        <v>5.79</v>
      </c>
      <c r="H658" s="15">
        <f>ROUND(INDEX(卡牌图鉴!$AA$2:$AA$58,MATCH(monster!C658,卡牌图鉴!$C$2:$C$58,0)) * INDEX(数值规划表!$C$61:$C$71,monster!E658+1),2)</f>
        <v>75.7</v>
      </c>
      <c r="I658" s="15">
        <f>ROUND(INDEX(卡牌图鉴!$AA$2:$AA$58,MATCH(monster!C658,卡牌图鉴!$C$2:$C$58,0)) * INDEX(数值规划表!$E$61:$E$71,monster!E658+1),2)</f>
        <v>2.27</v>
      </c>
      <c r="J658" s="15">
        <f>INDEX(卡牌图鉴!$J$2:$J$58,MATCH(monster!C658,卡牌图鉴!$C$2:$C$58,0))</f>
        <v>6</v>
      </c>
      <c r="K658" s="15">
        <f>INDEX(卡牌图鉴!$S$2:$S$58,MATCH(monster!C658,卡牌图鉴!$C$2:$C$58,0))</f>
        <v>1</v>
      </c>
      <c r="L658" s="15">
        <f>INDEX(卡牌图鉴!$H$2:$H$58,MATCH(monster!C658,卡牌图鉴!$C$2:$C$58,0))</f>
        <v>1.4</v>
      </c>
      <c r="M658" s="15">
        <f>INDEX(卡牌图鉴!$L$2:$L$58,MATCH(monster!C658,卡牌图鉴!$C$2:$C$58,0))</f>
        <v>2</v>
      </c>
      <c r="N658" s="15">
        <f>INDEX(卡牌图鉴!$AD$2:$AD$58,MATCH(monster!C658,卡牌图鉴!$C$2:$C$58,0))</f>
        <v>8</v>
      </c>
      <c r="O658" s="78">
        <v>2</v>
      </c>
    </row>
    <row r="659" spans="1:15" x14ac:dyDescent="0.15">
      <c r="A659" s="53">
        <v>2106</v>
      </c>
      <c r="B659" s="79" t="s">
        <v>2925</v>
      </c>
      <c r="C659" s="53">
        <v>2099</v>
      </c>
      <c r="D659" s="15">
        <f>INDEX(卡牌图鉴!$S$2:$S$58,MATCH(monster!C659,卡牌图鉴!$C$2:$C$58,0))</f>
        <v>1</v>
      </c>
      <c r="E659" s="90">
        <v>7</v>
      </c>
      <c r="F659" s="15">
        <f>INT(INDEX(卡牌图鉴!$AB$2:$AB$58,MATCH(monster!C659,卡牌图鉴!$C$2:$C$58,0)) * INDEX(数值规划表!$B$61:$B$71,monster!E659+1) * 血量调整)</f>
        <v>216</v>
      </c>
      <c r="G659" s="15">
        <f>ROUND(INDEX(卡牌图鉴!$AB$2:$AB$58,MATCH(monster!C659,卡牌图鉴!$C$2:$C$58,0)) * INDEX(数值规划表!$D$61:$D$71,monster!E659+1)*血量调整,2)</f>
        <v>6.49</v>
      </c>
      <c r="H659" s="15">
        <f>ROUND(INDEX(卡牌图鉴!$AA$2:$AA$58,MATCH(monster!C659,卡牌图鉴!$C$2:$C$58,0)) * INDEX(数值规划表!$C$61:$C$71,monster!E659+1),2)</f>
        <v>84.78</v>
      </c>
      <c r="I659" s="15">
        <f>ROUND(INDEX(卡牌图鉴!$AA$2:$AA$58,MATCH(monster!C659,卡牌图鉴!$C$2:$C$58,0)) * INDEX(数值规划表!$E$61:$E$71,monster!E659+1),2)</f>
        <v>2.54</v>
      </c>
      <c r="J659" s="15">
        <f>INDEX(卡牌图鉴!$J$2:$J$58,MATCH(monster!C659,卡牌图鉴!$C$2:$C$58,0))</f>
        <v>6</v>
      </c>
      <c r="K659" s="15">
        <f>INDEX(卡牌图鉴!$S$2:$S$58,MATCH(monster!C659,卡牌图鉴!$C$2:$C$58,0))</f>
        <v>1</v>
      </c>
      <c r="L659" s="15">
        <f>INDEX(卡牌图鉴!$H$2:$H$58,MATCH(monster!C659,卡牌图鉴!$C$2:$C$58,0))</f>
        <v>1.4</v>
      </c>
      <c r="M659" s="15">
        <f>INDEX(卡牌图鉴!$L$2:$L$58,MATCH(monster!C659,卡牌图鉴!$C$2:$C$58,0))</f>
        <v>2</v>
      </c>
      <c r="N659" s="15">
        <f>INDEX(卡牌图鉴!$AD$2:$AD$58,MATCH(monster!C659,卡牌图鉴!$C$2:$C$58,0))</f>
        <v>8</v>
      </c>
      <c r="O659" s="78">
        <v>2</v>
      </c>
    </row>
    <row r="660" spans="1:15" x14ac:dyDescent="0.15">
      <c r="A660" s="53">
        <v>2107</v>
      </c>
      <c r="B660" s="79" t="s">
        <v>2926</v>
      </c>
      <c r="C660" s="53">
        <v>2099</v>
      </c>
      <c r="D660" s="15">
        <f>INDEX(卡牌图鉴!$S$2:$S$58,MATCH(monster!C660,卡牌图鉴!$C$2:$C$58,0))</f>
        <v>1</v>
      </c>
      <c r="E660" s="31">
        <v>8</v>
      </c>
      <c r="F660" s="15">
        <f>INT(INDEX(卡牌图鉴!$AB$2:$AB$58,MATCH(monster!C660,卡牌图鉴!$C$2:$C$58,0)) * INDEX(数值规划表!$B$61:$B$71,monster!E660+1) * 血量调整)</f>
        <v>242</v>
      </c>
      <c r="G660" s="15">
        <f>ROUND(INDEX(卡牌图鉴!$AB$2:$AB$58,MATCH(monster!C660,卡牌图鉴!$C$2:$C$58,0)) * INDEX(数值规划表!$D$61:$D$71,monster!E660+1)*血量调整,2)</f>
        <v>7.26</v>
      </c>
      <c r="H660" s="15">
        <f>ROUND(INDEX(卡牌图鉴!$AA$2:$AA$58,MATCH(monster!C660,卡牌图鉴!$C$2:$C$58,0)) * INDEX(数值规划表!$C$61:$C$71,monster!E660+1),2)</f>
        <v>94.95</v>
      </c>
      <c r="I660" s="15">
        <f>ROUND(INDEX(卡牌图鉴!$AA$2:$AA$58,MATCH(monster!C660,卡牌图鉴!$C$2:$C$58,0)) * INDEX(数值规划表!$E$61:$E$71,monster!E660+1),2)</f>
        <v>2.85</v>
      </c>
      <c r="J660" s="15">
        <f>INDEX(卡牌图鉴!$J$2:$J$58,MATCH(monster!C660,卡牌图鉴!$C$2:$C$58,0))</f>
        <v>6</v>
      </c>
      <c r="K660" s="15">
        <f>INDEX(卡牌图鉴!$S$2:$S$58,MATCH(monster!C660,卡牌图鉴!$C$2:$C$58,0))</f>
        <v>1</v>
      </c>
      <c r="L660" s="15">
        <f>INDEX(卡牌图鉴!$H$2:$H$58,MATCH(monster!C660,卡牌图鉴!$C$2:$C$58,0))</f>
        <v>1.4</v>
      </c>
      <c r="M660" s="15">
        <f>INDEX(卡牌图鉴!$L$2:$L$58,MATCH(monster!C660,卡牌图鉴!$C$2:$C$58,0))</f>
        <v>2</v>
      </c>
      <c r="N660" s="15">
        <f>INDEX(卡牌图鉴!$AD$2:$AD$58,MATCH(monster!C660,卡牌图鉴!$C$2:$C$58,0))</f>
        <v>8</v>
      </c>
      <c r="O660" s="78">
        <v>2</v>
      </c>
    </row>
    <row r="661" spans="1:15" x14ac:dyDescent="0.15">
      <c r="A661" s="53">
        <v>2108</v>
      </c>
      <c r="B661" s="79" t="s">
        <v>2927</v>
      </c>
      <c r="C661" s="53">
        <v>2099</v>
      </c>
      <c r="D661" s="15">
        <f>INDEX(卡牌图鉴!$S$2:$S$58,MATCH(monster!C661,卡牌图鉴!$C$2:$C$58,0))</f>
        <v>1</v>
      </c>
      <c r="E661" s="90">
        <v>9</v>
      </c>
      <c r="F661" s="15">
        <f>INT(INDEX(卡牌图鉴!$AB$2:$AB$58,MATCH(monster!C661,卡牌图鉴!$C$2:$C$58,0)) * INDEX(数值规划表!$B$61:$B$71,monster!E661+1) * 血量调整)</f>
        <v>271</v>
      </c>
      <c r="G661" s="15">
        <f>ROUND(INDEX(卡牌图鉴!$AB$2:$AB$58,MATCH(monster!C661,卡牌图鉴!$C$2:$C$58,0)) * INDEX(数值规划表!$D$61:$D$71,monster!E661+1)*血量调整,2)</f>
        <v>8.14</v>
      </c>
      <c r="H661" s="15">
        <f>ROUND(INDEX(卡牌图鉴!$AA$2:$AA$58,MATCH(monster!C661,卡牌图鉴!$C$2:$C$58,0)) * INDEX(数值规划表!$C$61:$C$71,monster!E661+1),2)</f>
        <v>106.35</v>
      </c>
      <c r="I661" s="15">
        <f>ROUND(INDEX(卡牌图鉴!$AA$2:$AA$58,MATCH(monster!C661,卡牌图鉴!$C$2:$C$58,0)) * INDEX(数值规划表!$E$61:$E$71,monster!E661+1),2)</f>
        <v>3.19</v>
      </c>
      <c r="J661" s="15">
        <f>INDEX(卡牌图鉴!$J$2:$J$58,MATCH(monster!C661,卡牌图鉴!$C$2:$C$58,0))</f>
        <v>6</v>
      </c>
      <c r="K661" s="15">
        <f>INDEX(卡牌图鉴!$S$2:$S$58,MATCH(monster!C661,卡牌图鉴!$C$2:$C$58,0))</f>
        <v>1</v>
      </c>
      <c r="L661" s="15">
        <f>INDEX(卡牌图鉴!$H$2:$H$58,MATCH(monster!C661,卡牌图鉴!$C$2:$C$58,0))</f>
        <v>1.4</v>
      </c>
      <c r="M661" s="15">
        <f>INDEX(卡牌图鉴!$L$2:$L$58,MATCH(monster!C661,卡牌图鉴!$C$2:$C$58,0))</f>
        <v>2</v>
      </c>
      <c r="N661" s="15">
        <f>INDEX(卡牌图鉴!$AD$2:$AD$58,MATCH(monster!C661,卡牌图鉴!$C$2:$C$58,0))</f>
        <v>8</v>
      </c>
      <c r="O661" s="78">
        <v>2</v>
      </c>
    </row>
    <row r="662" spans="1:15" x14ac:dyDescent="0.15">
      <c r="A662" s="53">
        <v>2109</v>
      </c>
      <c r="B662" s="79" t="s">
        <v>2928</v>
      </c>
      <c r="C662" s="53">
        <v>2099</v>
      </c>
      <c r="D662" s="15">
        <f>INDEX(卡牌图鉴!$S$2:$S$58,MATCH(monster!C662,卡牌图鉴!$C$2:$C$58,0))</f>
        <v>1</v>
      </c>
      <c r="E662" s="31">
        <v>10</v>
      </c>
      <c r="F662" s="15">
        <f>INT(INDEX(卡牌图鉴!$AB$2:$AB$58,MATCH(monster!C662,卡牌图鉴!$C$2:$C$58,0)) * INDEX(数值规划表!$B$61:$B$71,monster!E662+1) * 血量调整)</f>
        <v>303</v>
      </c>
      <c r="G662" s="15">
        <f>ROUND(INDEX(卡牌图鉴!$AB$2:$AB$58,MATCH(monster!C662,卡牌图鉴!$C$2:$C$58,0)) * INDEX(数值规划表!$D$61:$D$71,monster!E662+1)*血量调整,2)</f>
        <v>9.11</v>
      </c>
      <c r="H662" s="15">
        <f>ROUND(INDEX(卡牌图鉴!$AA$2:$AA$58,MATCH(monster!C662,卡牌图鉴!$C$2:$C$58,0)) * INDEX(数值规划表!$C$61:$C$71,monster!E662+1),2)</f>
        <v>119.11</v>
      </c>
      <c r="I662" s="15">
        <f>ROUND(INDEX(卡牌图鉴!$AA$2:$AA$58,MATCH(monster!C662,卡牌图鉴!$C$2:$C$58,0)) * INDEX(数值规划表!$E$61:$E$71,monster!E662+1),2)</f>
        <v>3.57</v>
      </c>
      <c r="J662" s="15">
        <f>INDEX(卡牌图鉴!$J$2:$J$58,MATCH(monster!C662,卡牌图鉴!$C$2:$C$58,0))</f>
        <v>6</v>
      </c>
      <c r="K662" s="15">
        <f>INDEX(卡牌图鉴!$S$2:$S$58,MATCH(monster!C662,卡牌图鉴!$C$2:$C$58,0))</f>
        <v>1</v>
      </c>
      <c r="L662" s="15">
        <f>INDEX(卡牌图鉴!$H$2:$H$58,MATCH(monster!C662,卡牌图鉴!$C$2:$C$58,0))</f>
        <v>1.4</v>
      </c>
      <c r="M662" s="15">
        <f>INDEX(卡牌图鉴!$L$2:$L$58,MATCH(monster!C662,卡牌图鉴!$C$2:$C$58,0))</f>
        <v>2</v>
      </c>
      <c r="N662" s="15">
        <f>INDEX(卡牌图鉴!$AD$2:$AD$58,MATCH(monster!C662,卡牌图鉴!$C$2:$C$58,0))</f>
        <v>8</v>
      </c>
      <c r="O662" s="78">
        <v>2</v>
      </c>
    </row>
    <row r="663" spans="1:15" x14ac:dyDescent="0.15">
      <c r="A663" s="53">
        <v>2110</v>
      </c>
      <c r="B663" s="79" t="s">
        <v>2929</v>
      </c>
      <c r="C663" s="53">
        <v>2110</v>
      </c>
      <c r="D663" s="15">
        <f>INDEX(卡牌图鉴!$S$2:$S$58,MATCH(monster!C663,卡牌图鉴!$C$2:$C$58,0))</f>
        <v>1</v>
      </c>
      <c r="E663" s="31">
        <v>0</v>
      </c>
      <c r="F663" s="15">
        <f>INT(INDEX(卡牌图鉴!$AB$2:$AB$58,MATCH(monster!C663,卡牌图鉴!$C$2:$C$58,0)) * INDEX(数值规划表!$B$61:$B$71,monster!E663+1) * 血量调整)</f>
        <v>206</v>
      </c>
      <c r="G663" s="15">
        <f>ROUND(INDEX(卡牌图鉴!$AB$2:$AB$58,MATCH(monster!C663,卡牌图鉴!$C$2:$C$58,0)) * INDEX(数值规划表!$D$61:$D$71,monster!E663+1)*血量调整,2)</f>
        <v>6.2</v>
      </c>
      <c r="H663" s="15">
        <f>ROUND(INDEX(卡牌图鉴!$AA$2:$AA$58,MATCH(monster!C663,卡牌图鉴!$C$2:$C$58,0)) * INDEX(数值规划表!$C$61:$C$71,monster!E663+1),2)</f>
        <v>36.24</v>
      </c>
      <c r="I663" s="15">
        <f>ROUND(INDEX(卡牌图鉴!$AA$2:$AA$58,MATCH(monster!C663,卡牌图鉴!$C$2:$C$58,0)) * INDEX(数值规划表!$E$61:$E$71,monster!E663+1),2)</f>
        <v>1.0900000000000001</v>
      </c>
      <c r="J663" s="15">
        <f>INDEX(卡牌图鉴!$J$2:$J$58,MATCH(monster!C663,卡牌图鉴!$C$2:$C$58,0))</f>
        <v>1.2</v>
      </c>
      <c r="K663" s="15">
        <f>INDEX(卡牌图鉴!$S$2:$S$58,MATCH(monster!C663,卡牌图鉴!$C$2:$C$58,0))</f>
        <v>1</v>
      </c>
      <c r="L663" s="15">
        <f>INDEX(卡牌图鉴!$H$2:$H$58,MATCH(monster!C663,卡牌图鉴!$C$2:$C$58,0))</f>
        <v>1.4</v>
      </c>
      <c r="M663" s="15">
        <f>INDEX(卡牌图鉴!$L$2:$L$58,MATCH(monster!C663,卡牌图鉴!$C$2:$C$58,0))</f>
        <v>3</v>
      </c>
      <c r="N663" s="15">
        <f>INDEX(卡牌图鉴!$AD$2:$AD$58,MATCH(monster!C663,卡牌图鉴!$C$2:$C$58,0))</f>
        <v>8</v>
      </c>
      <c r="O663" s="78">
        <v>2</v>
      </c>
    </row>
    <row r="664" spans="1:15" x14ac:dyDescent="0.15">
      <c r="A664" s="53">
        <v>2111</v>
      </c>
      <c r="B664" s="79" t="s">
        <v>2930</v>
      </c>
      <c r="C664" s="53">
        <v>2110</v>
      </c>
      <c r="D664" s="15">
        <f>INDEX(卡牌图鉴!$S$2:$S$58,MATCH(monster!C664,卡牌图鉴!$C$2:$C$58,0))</f>
        <v>1</v>
      </c>
      <c r="E664" s="90">
        <v>1</v>
      </c>
      <c r="F664" s="15">
        <f>INT(INDEX(卡牌图鉴!$AB$2:$AB$58,MATCH(monster!C664,卡牌图鉴!$C$2:$C$58,0)) * INDEX(数值规划表!$B$61:$B$71,monster!E664+1) * 血量调整)</f>
        <v>231</v>
      </c>
      <c r="G664" s="15">
        <f>ROUND(INDEX(卡牌图鉴!$AB$2:$AB$58,MATCH(monster!C664,卡牌图鉴!$C$2:$C$58,0)) * INDEX(数值规划表!$D$61:$D$71,monster!E664+1)*血量调整,2)</f>
        <v>6.94</v>
      </c>
      <c r="H664" s="15">
        <f>ROUND(INDEX(卡牌图鉴!$AA$2:$AA$58,MATCH(monster!C664,卡牌图鉴!$C$2:$C$58,0)) * INDEX(数值规划表!$C$61:$C$71,monster!E664+1),2)</f>
        <v>40.590000000000003</v>
      </c>
      <c r="I664" s="15">
        <f>ROUND(INDEX(卡牌图鉴!$AA$2:$AA$58,MATCH(monster!C664,卡牌图鉴!$C$2:$C$58,0)) * INDEX(数值规划表!$E$61:$E$71,monster!E664+1),2)</f>
        <v>1.22</v>
      </c>
      <c r="J664" s="15">
        <f>INDEX(卡牌图鉴!$J$2:$J$58,MATCH(monster!C664,卡牌图鉴!$C$2:$C$58,0))</f>
        <v>1.2</v>
      </c>
      <c r="K664" s="15">
        <f>INDEX(卡牌图鉴!$S$2:$S$58,MATCH(monster!C664,卡牌图鉴!$C$2:$C$58,0))</f>
        <v>1</v>
      </c>
      <c r="L664" s="15">
        <f>INDEX(卡牌图鉴!$H$2:$H$58,MATCH(monster!C664,卡牌图鉴!$C$2:$C$58,0))</f>
        <v>1.4</v>
      </c>
      <c r="M664" s="15">
        <f>INDEX(卡牌图鉴!$L$2:$L$58,MATCH(monster!C664,卡牌图鉴!$C$2:$C$58,0))</f>
        <v>3</v>
      </c>
      <c r="N664" s="15">
        <f>INDEX(卡牌图鉴!$AD$2:$AD$58,MATCH(monster!C664,卡牌图鉴!$C$2:$C$58,0))</f>
        <v>8</v>
      </c>
      <c r="O664" s="78">
        <v>2</v>
      </c>
    </row>
    <row r="665" spans="1:15" x14ac:dyDescent="0.15">
      <c r="A665" s="53">
        <v>2112</v>
      </c>
      <c r="B665" s="79" t="s">
        <v>2931</v>
      </c>
      <c r="C665" s="53">
        <v>2110</v>
      </c>
      <c r="D665" s="15">
        <f>INDEX(卡牌图鉴!$S$2:$S$58,MATCH(monster!C665,卡牌图鉴!$C$2:$C$58,0))</f>
        <v>1</v>
      </c>
      <c r="E665" s="31">
        <v>2</v>
      </c>
      <c r="F665" s="15">
        <f>INT(INDEX(卡牌图鉴!$AB$2:$AB$58,MATCH(monster!C665,卡牌图鉴!$C$2:$C$58,0)) * INDEX(数值规划表!$B$61:$B$71,monster!E665+1) * 血量调整)</f>
        <v>259</v>
      </c>
      <c r="G665" s="15">
        <f>ROUND(INDEX(卡牌图鉴!$AB$2:$AB$58,MATCH(monster!C665,卡牌图鉴!$C$2:$C$58,0)) * INDEX(数值规划表!$D$61:$D$71,monster!E665+1)*血量调整,2)</f>
        <v>7.77</v>
      </c>
      <c r="H665" s="15">
        <f>ROUND(INDEX(卡牌图鉴!$AA$2:$AA$58,MATCH(monster!C665,卡牌图鉴!$C$2:$C$58,0)) * INDEX(数值规划表!$C$61:$C$71,monster!E665+1),2)</f>
        <v>45.46</v>
      </c>
      <c r="I665" s="15">
        <f>ROUND(INDEX(卡牌图鉴!$AA$2:$AA$58,MATCH(monster!C665,卡牌图鉴!$C$2:$C$58,0)) * INDEX(数值规划表!$E$61:$E$71,monster!E665+1),2)</f>
        <v>1.36</v>
      </c>
      <c r="J665" s="15">
        <f>INDEX(卡牌图鉴!$J$2:$J$58,MATCH(monster!C665,卡牌图鉴!$C$2:$C$58,0))</f>
        <v>1.2</v>
      </c>
      <c r="K665" s="15">
        <f>INDEX(卡牌图鉴!$S$2:$S$58,MATCH(monster!C665,卡牌图鉴!$C$2:$C$58,0))</f>
        <v>1</v>
      </c>
      <c r="L665" s="15">
        <f>INDEX(卡牌图鉴!$H$2:$H$58,MATCH(monster!C665,卡牌图鉴!$C$2:$C$58,0))</f>
        <v>1.4</v>
      </c>
      <c r="M665" s="15">
        <f>INDEX(卡牌图鉴!$L$2:$L$58,MATCH(monster!C665,卡牌图鉴!$C$2:$C$58,0))</f>
        <v>3</v>
      </c>
      <c r="N665" s="15">
        <f>INDEX(卡牌图鉴!$AD$2:$AD$58,MATCH(monster!C665,卡牌图鉴!$C$2:$C$58,0))</f>
        <v>8</v>
      </c>
      <c r="O665" s="78">
        <v>2</v>
      </c>
    </row>
    <row r="666" spans="1:15" x14ac:dyDescent="0.15">
      <c r="A666" s="53">
        <v>2113</v>
      </c>
      <c r="B666" s="79" t="s">
        <v>2932</v>
      </c>
      <c r="C666" s="53">
        <v>2110</v>
      </c>
      <c r="D666" s="15">
        <f>INDEX(卡牌图鉴!$S$2:$S$58,MATCH(monster!C666,卡牌图鉴!$C$2:$C$58,0))</f>
        <v>1</v>
      </c>
      <c r="E666" s="90">
        <v>3</v>
      </c>
      <c r="F666" s="15">
        <f>INT(INDEX(卡牌图鉴!$AB$2:$AB$58,MATCH(monster!C666,卡牌图鉴!$C$2:$C$58,0)) * INDEX(数值规划表!$B$61:$B$71,monster!E666+1) * 血量调整)</f>
        <v>290</v>
      </c>
      <c r="G666" s="15">
        <f>ROUND(INDEX(卡牌图鉴!$AB$2:$AB$58,MATCH(monster!C666,卡牌图鉴!$C$2:$C$58,0)) * INDEX(数值规划表!$D$61:$D$71,monster!E666+1)*血量调整,2)</f>
        <v>8.7100000000000009</v>
      </c>
      <c r="H666" s="15">
        <f>ROUND(INDEX(卡牌图鉴!$AA$2:$AA$58,MATCH(monster!C666,卡牌图鉴!$C$2:$C$58,0)) * INDEX(数值规划表!$C$61:$C$71,monster!E666+1),2)</f>
        <v>50.91</v>
      </c>
      <c r="I666" s="15">
        <f>ROUND(INDEX(卡牌图鉴!$AA$2:$AA$58,MATCH(monster!C666,卡牌图鉴!$C$2:$C$58,0)) * INDEX(数值规划表!$E$61:$E$71,monster!E666+1),2)</f>
        <v>1.53</v>
      </c>
      <c r="J666" s="15">
        <f>INDEX(卡牌图鉴!$J$2:$J$58,MATCH(monster!C666,卡牌图鉴!$C$2:$C$58,0))</f>
        <v>1.2</v>
      </c>
      <c r="K666" s="15">
        <f>INDEX(卡牌图鉴!$S$2:$S$58,MATCH(monster!C666,卡牌图鉴!$C$2:$C$58,0))</f>
        <v>1</v>
      </c>
      <c r="L666" s="15">
        <f>INDEX(卡牌图鉴!$H$2:$H$58,MATCH(monster!C666,卡牌图鉴!$C$2:$C$58,0))</f>
        <v>1.4</v>
      </c>
      <c r="M666" s="15">
        <f>INDEX(卡牌图鉴!$L$2:$L$58,MATCH(monster!C666,卡牌图鉴!$C$2:$C$58,0))</f>
        <v>3</v>
      </c>
      <c r="N666" s="15">
        <f>INDEX(卡牌图鉴!$AD$2:$AD$58,MATCH(monster!C666,卡牌图鉴!$C$2:$C$58,0))</f>
        <v>8</v>
      </c>
      <c r="O666" s="78">
        <v>2</v>
      </c>
    </row>
    <row r="667" spans="1:15" x14ac:dyDescent="0.15">
      <c r="A667" s="53">
        <v>2114</v>
      </c>
      <c r="B667" s="79" t="s">
        <v>2933</v>
      </c>
      <c r="C667" s="53">
        <v>2110</v>
      </c>
      <c r="D667" s="15">
        <f>INDEX(卡牌图鉴!$S$2:$S$58,MATCH(monster!C667,卡牌图鉴!$C$2:$C$58,0))</f>
        <v>1</v>
      </c>
      <c r="E667" s="31">
        <v>4</v>
      </c>
      <c r="F667" s="15">
        <f>INT(INDEX(卡牌图鉴!$AB$2:$AB$58,MATCH(monster!C667,卡牌图鉴!$C$2:$C$58,0)) * INDEX(数值规划表!$B$61:$B$71,monster!E667+1) * 血量调整)</f>
        <v>325</v>
      </c>
      <c r="G667" s="15">
        <f>ROUND(INDEX(卡牌图鉴!$AB$2:$AB$58,MATCH(monster!C667,卡牌图鉴!$C$2:$C$58,0)) * INDEX(数值规划表!$D$61:$D$71,monster!E667+1)*血量调整,2)</f>
        <v>9.75</v>
      </c>
      <c r="H667" s="15">
        <f>ROUND(INDEX(卡牌图鉴!$AA$2:$AA$58,MATCH(monster!C667,卡牌图鉴!$C$2:$C$58,0)) * INDEX(数值规划表!$C$61:$C$71,monster!E667+1),2)</f>
        <v>57.02</v>
      </c>
      <c r="I667" s="15">
        <f>ROUND(INDEX(卡牌图鉴!$AA$2:$AA$58,MATCH(monster!C667,卡牌图鉴!$C$2:$C$58,0)) * INDEX(数值规划表!$E$61:$E$71,monster!E667+1),2)</f>
        <v>1.71</v>
      </c>
      <c r="J667" s="15">
        <f>INDEX(卡牌图鉴!$J$2:$J$58,MATCH(monster!C667,卡牌图鉴!$C$2:$C$58,0))</f>
        <v>1.2</v>
      </c>
      <c r="K667" s="15">
        <f>INDEX(卡牌图鉴!$S$2:$S$58,MATCH(monster!C667,卡牌图鉴!$C$2:$C$58,0))</f>
        <v>1</v>
      </c>
      <c r="L667" s="15">
        <f>INDEX(卡牌图鉴!$H$2:$H$58,MATCH(monster!C667,卡牌图鉴!$C$2:$C$58,0))</f>
        <v>1.4</v>
      </c>
      <c r="M667" s="15">
        <f>INDEX(卡牌图鉴!$L$2:$L$58,MATCH(monster!C667,卡牌图鉴!$C$2:$C$58,0))</f>
        <v>3</v>
      </c>
      <c r="N667" s="15">
        <f>INDEX(卡牌图鉴!$AD$2:$AD$58,MATCH(monster!C667,卡牌图鉴!$C$2:$C$58,0))</f>
        <v>8</v>
      </c>
      <c r="O667" s="78">
        <v>2</v>
      </c>
    </row>
    <row r="668" spans="1:15" x14ac:dyDescent="0.15">
      <c r="A668" s="53">
        <v>2115</v>
      </c>
      <c r="B668" s="79" t="s">
        <v>2934</v>
      </c>
      <c r="C668" s="53">
        <v>2110</v>
      </c>
      <c r="D668" s="15">
        <f>INDEX(卡牌图鉴!$S$2:$S$58,MATCH(monster!C668,卡牌图鉴!$C$2:$C$58,0))</f>
        <v>1</v>
      </c>
      <c r="E668" s="90">
        <v>5</v>
      </c>
      <c r="F668" s="15">
        <f>INT(INDEX(卡牌图鉴!$AB$2:$AB$58,MATCH(monster!C668,卡牌图鉴!$C$2:$C$58,0)) * INDEX(数值规划表!$B$61:$B$71,monster!E668+1) * 血量调整)</f>
        <v>364</v>
      </c>
      <c r="G668" s="15">
        <f>ROUND(INDEX(卡牌图鉴!$AB$2:$AB$58,MATCH(monster!C668,卡牌图鉴!$C$2:$C$58,0)) * INDEX(数值规划表!$D$61:$D$71,monster!E668+1)*血量调整,2)</f>
        <v>10.92</v>
      </c>
      <c r="H668" s="15">
        <f>ROUND(INDEX(卡牌图鉴!$AA$2:$AA$58,MATCH(monster!C668,卡牌图鉴!$C$2:$C$58,0)) * INDEX(数值规划表!$C$61:$C$71,monster!E668+1),2)</f>
        <v>63.87</v>
      </c>
      <c r="I668" s="15">
        <f>ROUND(INDEX(卡牌图鉴!$AA$2:$AA$58,MATCH(monster!C668,卡牌图鉴!$C$2:$C$58,0)) * INDEX(数值规划表!$E$61:$E$71,monster!E668+1),2)</f>
        <v>1.92</v>
      </c>
      <c r="J668" s="15">
        <f>INDEX(卡牌图鉴!$J$2:$J$58,MATCH(monster!C668,卡牌图鉴!$C$2:$C$58,0))</f>
        <v>1.2</v>
      </c>
      <c r="K668" s="15">
        <f>INDEX(卡牌图鉴!$S$2:$S$58,MATCH(monster!C668,卡牌图鉴!$C$2:$C$58,0))</f>
        <v>1</v>
      </c>
      <c r="L668" s="15">
        <f>INDEX(卡牌图鉴!$H$2:$H$58,MATCH(monster!C668,卡牌图鉴!$C$2:$C$58,0))</f>
        <v>1.4</v>
      </c>
      <c r="M668" s="15">
        <f>INDEX(卡牌图鉴!$L$2:$L$58,MATCH(monster!C668,卡牌图鉴!$C$2:$C$58,0))</f>
        <v>3</v>
      </c>
      <c r="N668" s="15">
        <f>INDEX(卡牌图鉴!$AD$2:$AD$58,MATCH(monster!C668,卡牌图鉴!$C$2:$C$58,0))</f>
        <v>8</v>
      </c>
      <c r="O668" s="78">
        <v>2</v>
      </c>
    </row>
    <row r="669" spans="1:15" x14ac:dyDescent="0.15">
      <c r="A669" s="53">
        <v>2116</v>
      </c>
      <c r="B669" s="79" t="s">
        <v>2935</v>
      </c>
      <c r="C669" s="53">
        <v>2110</v>
      </c>
      <c r="D669" s="15">
        <f>INDEX(卡牌图鉴!$S$2:$S$58,MATCH(monster!C669,卡牌图鉴!$C$2:$C$58,0))</f>
        <v>1</v>
      </c>
      <c r="E669" s="31">
        <v>6</v>
      </c>
      <c r="F669" s="15">
        <f>INT(INDEX(卡牌图鉴!$AB$2:$AB$58,MATCH(monster!C669,卡牌图鉴!$C$2:$C$58,0)) * INDEX(数值规划表!$B$61:$B$71,monster!E669+1) * 血量调整)</f>
        <v>407</v>
      </c>
      <c r="G669" s="15">
        <f>ROUND(INDEX(卡牌图鉴!$AB$2:$AB$58,MATCH(monster!C669,卡牌图鉴!$C$2:$C$58,0)) * INDEX(数值规划表!$D$61:$D$71,monster!E669+1)*血量调整,2)</f>
        <v>12.23</v>
      </c>
      <c r="H669" s="15">
        <f>ROUND(INDEX(卡牌图鉴!$AA$2:$AA$58,MATCH(monster!C669,卡牌图鉴!$C$2:$C$58,0)) * INDEX(数值规划表!$C$61:$C$71,monster!E669+1),2)</f>
        <v>71.53</v>
      </c>
      <c r="I669" s="15">
        <f>ROUND(INDEX(卡牌图鉴!$AA$2:$AA$58,MATCH(monster!C669,卡牌图鉴!$C$2:$C$58,0)) * INDEX(数值规划表!$E$61:$E$71,monster!E669+1),2)</f>
        <v>2.15</v>
      </c>
      <c r="J669" s="15">
        <f>INDEX(卡牌图鉴!$J$2:$J$58,MATCH(monster!C669,卡牌图鉴!$C$2:$C$58,0))</f>
        <v>1.2</v>
      </c>
      <c r="K669" s="15">
        <f>INDEX(卡牌图鉴!$S$2:$S$58,MATCH(monster!C669,卡牌图鉴!$C$2:$C$58,0))</f>
        <v>1</v>
      </c>
      <c r="L669" s="15">
        <f>INDEX(卡牌图鉴!$H$2:$H$58,MATCH(monster!C669,卡牌图鉴!$C$2:$C$58,0))</f>
        <v>1.4</v>
      </c>
      <c r="M669" s="15">
        <f>INDEX(卡牌图鉴!$L$2:$L$58,MATCH(monster!C669,卡牌图鉴!$C$2:$C$58,0))</f>
        <v>3</v>
      </c>
      <c r="N669" s="15">
        <f>INDEX(卡牌图鉴!$AD$2:$AD$58,MATCH(monster!C669,卡牌图鉴!$C$2:$C$58,0))</f>
        <v>8</v>
      </c>
      <c r="O669" s="78">
        <v>2</v>
      </c>
    </row>
    <row r="670" spans="1:15" x14ac:dyDescent="0.15">
      <c r="A670" s="53">
        <v>2117</v>
      </c>
      <c r="B670" s="79" t="s">
        <v>2936</v>
      </c>
      <c r="C670" s="53">
        <v>2110</v>
      </c>
      <c r="D670" s="15">
        <f>INDEX(卡牌图鉴!$S$2:$S$58,MATCH(monster!C670,卡牌图鉴!$C$2:$C$58,0))</f>
        <v>1</v>
      </c>
      <c r="E670" s="90">
        <v>7</v>
      </c>
      <c r="F670" s="15">
        <f>INT(INDEX(卡牌图鉴!$AB$2:$AB$58,MATCH(monster!C670,卡牌图鉴!$C$2:$C$58,0)) * INDEX(数值规划表!$B$61:$B$71,monster!E670+1) * 血量调整)</f>
        <v>456</v>
      </c>
      <c r="G670" s="15">
        <f>ROUND(INDEX(卡牌图鉴!$AB$2:$AB$58,MATCH(monster!C670,卡牌图鉴!$C$2:$C$58,0)) * INDEX(数值规划表!$D$61:$D$71,monster!E670+1)*血量调整,2)</f>
        <v>13.7</v>
      </c>
      <c r="H670" s="15">
        <f>ROUND(INDEX(卡牌图鉴!$AA$2:$AA$58,MATCH(monster!C670,卡牌图鉴!$C$2:$C$58,0)) * INDEX(数值规划表!$C$61:$C$71,monster!E670+1),2)</f>
        <v>80.12</v>
      </c>
      <c r="I670" s="15">
        <f>ROUND(INDEX(卡牌图鉴!$AA$2:$AA$58,MATCH(monster!C670,卡牌图鉴!$C$2:$C$58,0)) * INDEX(数值规划表!$E$61:$E$71,monster!E670+1),2)</f>
        <v>2.4</v>
      </c>
      <c r="J670" s="15">
        <f>INDEX(卡牌图鉴!$J$2:$J$58,MATCH(monster!C670,卡牌图鉴!$C$2:$C$58,0))</f>
        <v>1.2</v>
      </c>
      <c r="K670" s="15">
        <f>INDEX(卡牌图鉴!$S$2:$S$58,MATCH(monster!C670,卡牌图鉴!$C$2:$C$58,0))</f>
        <v>1</v>
      </c>
      <c r="L670" s="15">
        <f>INDEX(卡牌图鉴!$H$2:$H$58,MATCH(monster!C670,卡牌图鉴!$C$2:$C$58,0))</f>
        <v>1.4</v>
      </c>
      <c r="M670" s="15">
        <f>INDEX(卡牌图鉴!$L$2:$L$58,MATCH(monster!C670,卡牌图鉴!$C$2:$C$58,0))</f>
        <v>3</v>
      </c>
      <c r="N670" s="15">
        <f>INDEX(卡牌图鉴!$AD$2:$AD$58,MATCH(monster!C670,卡牌图鉴!$C$2:$C$58,0))</f>
        <v>8</v>
      </c>
      <c r="O670" s="78">
        <v>2</v>
      </c>
    </row>
    <row r="671" spans="1:15" x14ac:dyDescent="0.15">
      <c r="A671" s="53">
        <v>2118</v>
      </c>
      <c r="B671" s="79" t="s">
        <v>2937</v>
      </c>
      <c r="C671" s="53">
        <v>2110</v>
      </c>
      <c r="D671" s="15">
        <f>INDEX(卡牌图鉴!$S$2:$S$58,MATCH(monster!C671,卡牌图鉴!$C$2:$C$58,0))</f>
        <v>1</v>
      </c>
      <c r="E671" s="31">
        <v>8</v>
      </c>
      <c r="F671" s="15">
        <f>INT(INDEX(卡牌图鉴!$AB$2:$AB$58,MATCH(monster!C671,卡牌图鉴!$C$2:$C$58,0)) * INDEX(数值规划表!$B$61:$B$71,monster!E671+1) * 血量调整)</f>
        <v>511</v>
      </c>
      <c r="G671" s="15">
        <f>ROUND(INDEX(卡牌图鉴!$AB$2:$AB$58,MATCH(monster!C671,卡牌图鉴!$C$2:$C$58,0)) * INDEX(数值规划表!$D$61:$D$71,monster!E671+1)*血量调整,2)</f>
        <v>15.34</v>
      </c>
      <c r="H671" s="15">
        <f>ROUND(INDEX(卡牌图鉴!$AA$2:$AA$58,MATCH(monster!C671,卡牌图鉴!$C$2:$C$58,0)) * INDEX(数值规划表!$C$61:$C$71,monster!E671+1),2)</f>
        <v>89.73</v>
      </c>
      <c r="I671" s="15">
        <f>ROUND(INDEX(卡牌图鉴!$AA$2:$AA$58,MATCH(monster!C671,卡牌图鉴!$C$2:$C$58,0)) * INDEX(数值规划表!$E$61:$E$71,monster!E671+1),2)</f>
        <v>2.69</v>
      </c>
      <c r="J671" s="15">
        <f>INDEX(卡牌图鉴!$J$2:$J$58,MATCH(monster!C671,卡牌图鉴!$C$2:$C$58,0))</f>
        <v>1.2</v>
      </c>
      <c r="K671" s="15">
        <f>INDEX(卡牌图鉴!$S$2:$S$58,MATCH(monster!C671,卡牌图鉴!$C$2:$C$58,0))</f>
        <v>1</v>
      </c>
      <c r="L671" s="15">
        <f>INDEX(卡牌图鉴!$H$2:$H$58,MATCH(monster!C671,卡牌图鉴!$C$2:$C$58,0))</f>
        <v>1.4</v>
      </c>
      <c r="M671" s="15">
        <f>INDEX(卡牌图鉴!$L$2:$L$58,MATCH(monster!C671,卡牌图鉴!$C$2:$C$58,0))</f>
        <v>3</v>
      </c>
      <c r="N671" s="15">
        <f>INDEX(卡牌图鉴!$AD$2:$AD$58,MATCH(monster!C671,卡牌图鉴!$C$2:$C$58,0))</f>
        <v>8</v>
      </c>
      <c r="O671" s="78">
        <v>2</v>
      </c>
    </row>
    <row r="672" spans="1:15" x14ac:dyDescent="0.15">
      <c r="A672" s="53">
        <v>2119</v>
      </c>
      <c r="B672" s="79" t="s">
        <v>2938</v>
      </c>
      <c r="C672" s="53">
        <v>2110</v>
      </c>
      <c r="D672" s="15">
        <f>INDEX(卡牌图鉴!$S$2:$S$58,MATCH(monster!C672,卡牌图鉴!$C$2:$C$58,0))</f>
        <v>1</v>
      </c>
      <c r="E672" s="90">
        <v>9</v>
      </c>
      <c r="F672" s="15">
        <f>INT(INDEX(卡牌图鉴!$AB$2:$AB$58,MATCH(monster!C672,卡牌图鉴!$C$2:$C$58,0)) * INDEX(数值规划表!$B$61:$B$71,monster!E672+1) * 血量调整)</f>
        <v>572</v>
      </c>
      <c r="G672" s="15">
        <f>ROUND(INDEX(卡牌图鉴!$AB$2:$AB$58,MATCH(monster!C672,卡牌图鉴!$C$2:$C$58,0)) * INDEX(数值规划表!$D$61:$D$71,monster!E672+1)*血量调整,2)</f>
        <v>17.18</v>
      </c>
      <c r="H672" s="15">
        <f>ROUND(INDEX(卡牌图鉴!$AA$2:$AA$58,MATCH(monster!C672,卡牌图鉴!$C$2:$C$58,0)) * INDEX(数值规划表!$C$61:$C$71,monster!E672+1),2)</f>
        <v>100.5</v>
      </c>
      <c r="I672" s="15">
        <f>ROUND(INDEX(卡牌图鉴!$AA$2:$AA$58,MATCH(monster!C672,卡牌图鉴!$C$2:$C$58,0)) * INDEX(数值规划表!$E$61:$E$71,monster!E672+1),2)</f>
        <v>3.01</v>
      </c>
      <c r="J672" s="15">
        <f>INDEX(卡牌图鉴!$J$2:$J$58,MATCH(monster!C672,卡牌图鉴!$C$2:$C$58,0))</f>
        <v>1.2</v>
      </c>
      <c r="K672" s="15">
        <f>INDEX(卡牌图鉴!$S$2:$S$58,MATCH(monster!C672,卡牌图鉴!$C$2:$C$58,0))</f>
        <v>1</v>
      </c>
      <c r="L672" s="15">
        <f>INDEX(卡牌图鉴!$H$2:$H$58,MATCH(monster!C672,卡牌图鉴!$C$2:$C$58,0))</f>
        <v>1.4</v>
      </c>
      <c r="M672" s="15">
        <f>INDEX(卡牌图鉴!$L$2:$L$58,MATCH(monster!C672,卡牌图鉴!$C$2:$C$58,0))</f>
        <v>3</v>
      </c>
      <c r="N672" s="15">
        <f>INDEX(卡牌图鉴!$AD$2:$AD$58,MATCH(monster!C672,卡牌图鉴!$C$2:$C$58,0))</f>
        <v>8</v>
      </c>
      <c r="O672" s="78">
        <v>2</v>
      </c>
    </row>
    <row r="673" spans="1:15" x14ac:dyDescent="0.15">
      <c r="A673" s="53">
        <v>2120</v>
      </c>
      <c r="B673" s="79" t="s">
        <v>2939</v>
      </c>
      <c r="C673" s="53">
        <v>2110</v>
      </c>
      <c r="D673" s="15">
        <f>INDEX(卡牌图鉴!$S$2:$S$58,MATCH(monster!C673,卡牌图鉴!$C$2:$C$58,0))</f>
        <v>1</v>
      </c>
      <c r="E673" s="31">
        <v>10</v>
      </c>
      <c r="F673" s="15">
        <f>INT(INDEX(卡牌图鉴!$AB$2:$AB$58,MATCH(monster!C673,卡牌图鉴!$C$2:$C$58,0)) * INDEX(数值规划表!$B$61:$B$71,monster!E673+1) * 血量调整)</f>
        <v>641</v>
      </c>
      <c r="G673" s="15">
        <f>ROUND(INDEX(卡牌图鉴!$AB$2:$AB$58,MATCH(monster!C673,卡牌图鉴!$C$2:$C$58,0)) * INDEX(数值规划表!$D$61:$D$71,monster!E673+1)*血量调整,2)</f>
        <v>19.25</v>
      </c>
      <c r="H673" s="15">
        <f>ROUND(INDEX(卡牌图鉴!$AA$2:$AA$58,MATCH(monster!C673,卡牌图鉴!$C$2:$C$58,0)) * INDEX(数值规划表!$C$61:$C$71,monster!E673+1),2)</f>
        <v>112.56</v>
      </c>
      <c r="I673" s="15">
        <f>ROUND(INDEX(卡牌图鉴!$AA$2:$AA$58,MATCH(monster!C673,卡牌图鉴!$C$2:$C$58,0)) * INDEX(数值规划表!$E$61:$E$71,monster!E673+1),2)</f>
        <v>3.38</v>
      </c>
      <c r="J673" s="15">
        <f>INDEX(卡牌图鉴!$J$2:$J$58,MATCH(monster!C673,卡牌图鉴!$C$2:$C$58,0))</f>
        <v>1.2</v>
      </c>
      <c r="K673" s="15">
        <f>INDEX(卡牌图鉴!$S$2:$S$58,MATCH(monster!C673,卡牌图鉴!$C$2:$C$58,0))</f>
        <v>1</v>
      </c>
      <c r="L673" s="15">
        <f>INDEX(卡牌图鉴!$H$2:$H$58,MATCH(monster!C673,卡牌图鉴!$C$2:$C$58,0))</f>
        <v>1.4</v>
      </c>
      <c r="M673" s="15">
        <f>INDEX(卡牌图鉴!$L$2:$L$58,MATCH(monster!C673,卡牌图鉴!$C$2:$C$58,0))</f>
        <v>3</v>
      </c>
      <c r="N673" s="15">
        <f>INDEX(卡牌图鉴!$AD$2:$AD$58,MATCH(monster!C673,卡牌图鉴!$C$2:$C$58,0))</f>
        <v>8</v>
      </c>
      <c r="O673" s="78">
        <v>2</v>
      </c>
    </row>
    <row r="674" spans="1:15" x14ac:dyDescent="0.15">
      <c r="A674" s="53">
        <v>2121</v>
      </c>
      <c r="B674" s="53" t="s">
        <v>3064</v>
      </c>
      <c r="C674" s="53">
        <v>2121</v>
      </c>
      <c r="D674" s="12">
        <v>0</v>
      </c>
      <c r="E674" s="31">
        <v>0</v>
      </c>
      <c r="F674" s="15">
        <f>F497*0.8</f>
        <v>179.20000000000002</v>
      </c>
      <c r="G674" s="15">
        <f t="shared" ref="G674:I674" si="0">G497*0.8</f>
        <v>5.4</v>
      </c>
      <c r="H674" s="15">
        <f t="shared" si="0"/>
        <v>47.152000000000001</v>
      </c>
      <c r="I674" s="15">
        <f t="shared" si="0"/>
        <v>1.4160000000000001</v>
      </c>
      <c r="J674" s="15">
        <f>J497</f>
        <v>5</v>
      </c>
      <c r="K674" s="15">
        <f t="shared" ref="K674:N674" si="1">K497</f>
        <v>4</v>
      </c>
      <c r="L674" s="15">
        <f t="shared" si="1"/>
        <v>1.4</v>
      </c>
      <c r="M674" s="15">
        <f t="shared" si="1"/>
        <v>3</v>
      </c>
      <c r="N674" s="15">
        <f t="shared" si="1"/>
        <v>8</v>
      </c>
      <c r="O674" s="78">
        <v>5</v>
      </c>
    </row>
    <row r="675" spans="1:15" x14ac:dyDescent="0.15">
      <c r="A675" s="53">
        <v>2122</v>
      </c>
      <c r="B675" s="53" t="s">
        <v>3065</v>
      </c>
      <c r="C675" s="53">
        <v>2122</v>
      </c>
      <c r="D675" s="12">
        <v>0</v>
      </c>
      <c r="E675" s="31">
        <v>0</v>
      </c>
      <c r="F675" s="15">
        <f t="shared" ref="F675:I675" si="2">F498*0.8</f>
        <v>200.8</v>
      </c>
      <c r="G675" s="15">
        <f t="shared" si="2"/>
        <v>6.048</v>
      </c>
      <c r="H675" s="15">
        <f t="shared" si="2"/>
        <v>52.808000000000007</v>
      </c>
      <c r="I675" s="15">
        <f t="shared" si="2"/>
        <v>1.5840000000000001</v>
      </c>
      <c r="J675" s="15">
        <f t="shared" ref="J675:N675" si="3">J498</f>
        <v>5</v>
      </c>
      <c r="K675" s="15">
        <f t="shared" si="3"/>
        <v>4</v>
      </c>
      <c r="L675" s="15">
        <f t="shared" si="3"/>
        <v>1.4</v>
      </c>
      <c r="M675" s="15">
        <f t="shared" si="3"/>
        <v>3</v>
      </c>
      <c r="N675" s="15">
        <f t="shared" si="3"/>
        <v>8</v>
      </c>
      <c r="O675" s="78">
        <v>5</v>
      </c>
    </row>
    <row r="676" spans="1:15" x14ac:dyDescent="0.15">
      <c r="A676" s="53">
        <v>2123</v>
      </c>
      <c r="B676" s="53" t="s">
        <v>3066</v>
      </c>
      <c r="C676" s="53">
        <v>2123</v>
      </c>
      <c r="D676" s="12">
        <v>0</v>
      </c>
      <c r="E676" s="31">
        <v>0</v>
      </c>
      <c r="F676" s="15">
        <f t="shared" ref="F676:I676" si="4">F499*0.8</f>
        <v>225.60000000000002</v>
      </c>
      <c r="G676" s="15">
        <f t="shared" si="4"/>
        <v>6.7760000000000007</v>
      </c>
      <c r="H676" s="15">
        <f t="shared" si="4"/>
        <v>59.144000000000005</v>
      </c>
      <c r="I676" s="15">
        <f t="shared" si="4"/>
        <v>1.7760000000000002</v>
      </c>
      <c r="J676" s="15">
        <f t="shared" ref="J676:N676" si="5">J499</f>
        <v>5</v>
      </c>
      <c r="K676" s="15">
        <f t="shared" si="5"/>
        <v>4</v>
      </c>
      <c r="L676" s="15">
        <f t="shared" si="5"/>
        <v>1.4</v>
      </c>
      <c r="M676" s="15">
        <f t="shared" si="5"/>
        <v>3</v>
      </c>
      <c r="N676" s="15">
        <f t="shared" si="5"/>
        <v>8</v>
      </c>
      <c r="O676" s="78">
        <v>5</v>
      </c>
    </row>
  </sheetData>
  <autoFilter ref="A1:M606"/>
  <phoneticPr fontId="5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R1242"/>
  <sheetViews>
    <sheetView topLeftCell="B1" zoomScale="110" zoomScaleNormal="110" workbookViewId="0">
      <pane ySplit="1" topLeftCell="A2" activePane="bottomLeft" state="frozen"/>
      <selection pane="bottomLeft" activeCell="D164" sqref="D164"/>
    </sheetView>
  </sheetViews>
  <sheetFormatPr defaultRowHeight="13.5" x14ac:dyDescent="0.15"/>
  <cols>
    <col min="1" max="1" width="10" style="30" customWidth="1"/>
    <col min="2" max="2" width="22.75" style="30" customWidth="1"/>
    <col min="3" max="3" width="10.75" style="30" customWidth="1"/>
    <col min="4" max="4" width="10.75" style="70" customWidth="1"/>
    <col min="5" max="5" width="10.75" style="30" customWidth="1"/>
    <col min="6" max="6" width="13.75" style="30" customWidth="1"/>
    <col min="7" max="7" width="12.25" style="41" customWidth="1"/>
    <col min="8" max="8" width="11.625" style="30" customWidth="1"/>
    <col min="9" max="12" width="10.75" style="30" customWidth="1"/>
    <col min="13" max="15" width="10.75" style="41" customWidth="1"/>
    <col min="16" max="16" width="13.375" style="41" customWidth="1"/>
    <col min="17" max="17" width="10.75" style="70" customWidth="1"/>
    <col min="18" max="18" width="12" style="30" customWidth="1"/>
    <col min="19" max="16384" width="9" style="30"/>
  </cols>
  <sheetData>
    <row r="1" spans="1:18" x14ac:dyDescent="0.15">
      <c r="A1" s="36" t="s">
        <v>1493</v>
      </c>
      <c r="B1" s="29" t="s">
        <v>1401</v>
      </c>
      <c r="C1" s="29" t="s">
        <v>1608</v>
      </c>
      <c r="D1" s="29" t="s">
        <v>3025</v>
      </c>
      <c r="E1" s="29" t="s">
        <v>1622</v>
      </c>
      <c r="F1" s="29" t="s">
        <v>1623</v>
      </c>
      <c r="G1" s="29" t="s">
        <v>1675</v>
      </c>
      <c r="H1" s="29" t="s">
        <v>1621</v>
      </c>
      <c r="I1" s="29" t="s">
        <v>1620</v>
      </c>
      <c r="J1" s="29" t="s">
        <v>1624</v>
      </c>
      <c r="K1" s="29" t="s">
        <v>1626</v>
      </c>
      <c r="L1" s="29" t="s">
        <v>1630</v>
      </c>
      <c r="M1" s="29" t="s">
        <v>1673</v>
      </c>
      <c r="N1" s="29" t="s">
        <v>1631</v>
      </c>
      <c r="O1" s="29" t="s">
        <v>1632</v>
      </c>
      <c r="P1" s="29" t="s">
        <v>2403</v>
      </c>
      <c r="Q1" s="29" t="s">
        <v>2377</v>
      </c>
      <c r="R1" s="36" t="s">
        <v>1494</v>
      </c>
    </row>
    <row r="2" spans="1:18" s="33" customFormat="1" x14ac:dyDescent="0.15">
      <c r="A2" s="32">
        <v>10001</v>
      </c>
      <c r="B2" s="32" t="s">
        <v>2741</v>
      </c>
      <c r="C2" s="32">
        <v>1</v>
      </c>
      <c r="D2" s="32">
        <v>0</v>
      </c>
      <c r="E2" s="15">
        <f>INDEX(monster!$H$2:$H$617,MATCH(skill!C2,monster!$A$2:$A$617,0))</f>
        <v>45</v>
      </c>
      <c r="F2" s="15">
        <f>INDEX(monster!$I$2:$I$617,MATCH(C2,monster!$A$2:$A$617,0))</f>
        <v>1.35</v>
      </c>
      <c r="G2" s="15" t="b">
        <f t="shared" ref="G2:G65" si="0">ISNUMBER(FIND("普攻",B2))</f>
        <v>1</v>
      </c>
      <c r="H2" s="32">
        <v>1</v>
      </c>
      <c r="I2" s="15">
        <f>IF(H2&gt;0,HLOOKUP(R2/100,数值规划表!$B$37:$AA$39,3),1)</f>
        <v>1.296</v>
      </c>
      <c r="J2" s="31" t="s">
        <v>1625</v>
      </c>
      <c r="K2" s="15">
        <f>INDEX(数值规划表!$B$15:$B$18,MATCH(J2,攻击范围,0))</f>
        <v>1</v>
      </c>
      <c r="L2" s="27">
        <v>1</v>
      </c>
      <c r="M2" s="41">
        <v>0</v>
      </c>
      <c r="N2" s="15">
        <f t="shared" ref="N2:N65" si="1">ROUND(E2*I2*K2*L2,0)</f>
        <v>58</v>
      </c>
      <c r="O2" s="15">
        <f t="shared" ref="O2:O65" si="2">ROUND(F2*I2*K2*L2,2)</f>
        <v>1.75</v>
      </c>
      <c r="P2" s="15">
        <f>IF(G2,INDEX(monster!$J$2:$J$606,MATCH(skill!C2,monster!$A$2:$A$606,0)),Q2)</f>
        <v>6</v>
      </c>
      <c r="Q2" s="70"/>
      <c r="R2" s="33">
        <v>120</v>
      </c>
    </row>
    <row r="3" spans="1:18" s="33" customFormat="1" x14ac:dyDescent="0.15">
      <c r="A3" s="32">
        <v>10002</v>
      </c>
      <c r="B3" s="32" t="s">
        <v>2742</v>
      </c>
      <c r="C3" s="32">
        <v>3</v>
      </c>
      <c r="D3" s="32">
        <v>1</v>
      </c>
      <c r="E3" s="15">
        <f>INDEX(monster!$H$2:$H$617,MATCH(skill!C3,monster!$A$2:$A$617,0))</f>
        <v>50</v>
      </c>
      <c r="F3" s="15">
        <f>INDEX(monster!$I$2:$I$617,MATCH(C3,monster!$A$2:$A$617,0))</f>
        <v>1.51</v>
      </c>
      <c r="G3" s="15" t="b">
        <f t="shared" si="0"/>
        <v>1</v>
      </c>
      <c r="H3" s="32">
        <v>1</v>
      </c>
      <c r="I3" s="15">
        <f>IF(H3&gt;0,HLOOKUP(R3/100,数值规划表!$B$37:$AA$39,3),1)</f>
        <v>1.296</v>
      </c>
      <c r="J3" s="31" t="s">
        <v>1625</v>
      </c>
      <c r="K3" s="15">
        <f>INDEX(数值规划表!$B$15:$B$18,MATCH(J3,攻击范围,0))</f>
        <v>1</v>
      </c>
      <c r="L3" s="30">
        <v>1</v>
      </c>
      <c r="M3" s="41">
        <v>0</v>
      </c>
      <c r="N3" s="15">
        <f t="shared" si="1"/>
        <v>65</v>
      </c>
      <c r="O3" s="15">
        <f t="shared" si="2"/>
        <v>1.96</v>
      </c>
      <c r="P3" s="15">
        <f>IF(G3,INDEX(monster!$J$2:$J$606,MATCH(skill!C3,monster!$A$2:$A$606,0)),Q3)</f>
        <v>6</v>
      </c>
      <c r="Q3" s="70"/>
      <c r="R3" s="33">
        <v>120</v>
      </c>
    </row>
    <row r="4" spans="1:18" s="33" customFormat="1" x14ac:dyDescent="0.15">
      <c r="A4" s="32">
        <v>10003</v>
      </c>
      <c r="B4" s="32" t="s">
        <v>2743</v>
      </c>
      <c r="C4" s="32">
        <v>4</v>
      </c>
      <c r="D4" s="32">
        <v>2</v>
      </c>
      <c r="E4" s="15">
        <f>INDEX(monster!$H$2:$H$617,MATCH(skill!C4,monster!$A$2:$A$617,0))</f>
        <v>56</v>
      </c>
      <c r="F4" s="15">
        <f>INDEX(monster!$I$2:$I$617,MATCH(C4,monster!$A$2:$A$617,0))</f>
        <v>1.69</v>
      </c>
      <c r="G4" s="15" t="b">
        <f t="shared" si="0"/>
        <v>1</v>
      </c>
      <c r="H4" s="32">
        <v>1</v>
      </c>
      <c r="I4" s="15">
        <f>IF(H4&gt;0,HLOOKUP(R4/100,数值规划表!$B$37:$AA$39,3),1)</f>
        <v>1.296</v>
      </c>
      <c r="J4" s="31" t="s">
        <v>1625</v>
      </c>
      <c r="K4" s="15">
        <f>INDEX(数值规划表!$B$15:$B$18,MATCH(J4,攻击范围,0))</f>
        <v>1</v>
      </c>
      <c r="L4" s="30">
        <v>1</v>
      </c>
      <c r="M4" s="41">
        <v>0</v>
      </c>
      <c r="N4" s="15">
        <f t="shared" si="1"/>
        <v>73</v>
      </c>
      <c r="O4" s="15">
        <f t="shared" si="2"/>
        <v>2.19</v>
      </c>
      <c r="P4" s="15">
        <f>IF(G4,INDEX(monster!$J$2:$J$606,MATCH(skill!C4,monster!$A$2:$A$606,0)),Q4)</f>
        <v>6</v>
      </c>
      <c r="Q4" s="70"/>
      <c r="R4" s="33">
        <v>120</v>
      </c>
    </row>
    <row r="5" spans="1:18" s="33" customFormat="1" x14ac:dyDescent="0.15">
      <c r="A5" s="32">
        <v>10004</v>
      </c>
      <c r="B5" s="32" t="s">
        <v>2744</v>
      </c>
      <c r="C5" s="32">
        <v>5</v>
      </c>
      <c r="D5" s="32">
        <v>3</v>
      </c>
      <c r="E5" s="15">
        <f>INDEX(monster!$H$2:$H$617,MATCH(skill!C5,monster!$A$2:$A$617,0))</f>
        <v>63</v>
      </c>
      <c r="F5" s="15">
        <f>INDEX(monster!$I$2:$I$617,MATCH(C5,monster!$A$2:$A$617,0))</f>
        <v>1.9</v>
      </c>
      <c r="G5" s="15" t="b">
        <f t="shared" si="0"/>
        <v>1</v>
      </c>
      <c r="H5" s="32">
        <v>1</v>
      </c>
      <c r="I5" s="15">
        <f>IF(H5&gt;0,HLOOKUP(R5/100,数值规划表!$B$37:$AA$39,3),1)</f>
        <v>1.296</v>
      </c>
      <c r="J5" s="31" t="s">
        <v>1625</v>
      </c>
      <c r="K5" s="15">
        <f>INDEX(数值规划表!$B$15:$B$18,MATCH(J5,攻击范围,0))</f>
        <v>1</v>
      </c>
      <c r="L5" s="30">
        <v>1</v>
      </c>
      <c r="M5" s="41">
        <v>0</v>
      </c>
      <c r="N5" s="15">
        <f t="shared" si="1"/>
        <v>82</v>
      </c>
      <c r="O5" s="15">
        <f t="shared" si="2"/>
        <v>2.46</v>
      </c>
      <c r="P5" s="15">
        <f>IF(G5,INDEX(monster!$J$2:$J$606,MATCH(skill!C5,monster!$A$2:$A$606,0)),Q5)</f>
        <v>6</v>
      </c>
      <c r="Q5" s="70"/>
      <c r="R5" s="33">
        <v>120</v>
      </c>
    </row>
    <row r="6" spans="1:18" s="33" customFormat="1" x14ac:dyDescent="0.15">
      <c r="A6" s="32">
        <v>10005</v>
      </c>
      <c r="B6" s="32" t="s">
        <v>2745</v>
      </c>
      <c r="C6" s="32">
        <v>6</v>
      </c>
      <c r="D6" s="32">
        <v>4</v>
      </c>
      <c r="E6" s="15">
        <f>INDEX(monster!$H$2:$H$617,MATCH(skill!C6,monster!$A$2:$A$617,0))</f>
        <v>70</v>
      </c>
      <c r="F6" s="15">
        <f>INDEX(monster!$I$2:$I$617,MATCH(C6,monster!$A$2:$A$617,0))</f>
        <v>2.12</v>
      </c>
      <c r="G6" s="15" t="b">
        <f t="shared" si="0"/>
        <v>1</v>
      </c>
      <c r="H6" s="32">
        <v>1</v>
      </c>
      <c r="I6" s="15">
        <f>IF(H6&gt;0,HLOOKUP(R6/100,数值规划表!$B$37:$AA$39,3),1)</f>
        <v>1.296</v>
      </c>
      <c r="J6" s="31" t="s">
        <v>1625</v>
      </c>
      <c r="K6" s="15">
        <f>INDEX(数值规划表!$B$15:$B$18,MATCH(J6,攻击范围,0))</f>
        <v>1</v>
      </c>
      <c r="L6" s="30">
        <v>1</v>
      </c>
      <c r="M6" s="41">
        <v>0</v>
      </c>
      <c r="N6" s="15">
        <f t="shared" si="1"/>
        <v>91</v>
      </c>
      <c r="O6" s="15">
        <f t="shared" si="2"/>
        <v>2.75</v>
      </c>
      <c r="P6" s="15">
        <f>IF(G6,INDEX(monster!$J$2:$J$606,MATCH(skill!C6,monster!$A$2:$A$606,0)),Q6)</f>
        <v>6</v>
      </c>
      <c r="Q6" s="70"/>
      <c r="R6" s="33">
        <v>120</v>
      </c>
    </row>
    <row r="7" spans="1:18" s="33" customFormat="1" x14ac:dyDescent="0.15">
      <c r="A7" s="32">
        <v>10006</v>
      </c>
      <c r="B7" s="32" t="s">
        <v>2746</v>
      </c>
      <c r="C7" s="32">
        <v>7</v>
      </c>
      <c r="D7" s="32">
        <v>5</v>
      </c>
      <c r="E7" s="15">
        <f>INDEX(monster!$H$2:$H$617,MATCH(skill!C7,monster!$A$2:$A$617,0))</f>
        <v>79</v>
      </c>
      <c r="F7" s="15">
        <f>INDEX(monster!$I$2:$I$617,MATCH(C7,monster!$A$2:$A$617,0))</f>
        <v>2.38</v>
      </c>
      <c r="G7" s="15" t="b">
        <f t="shared" si="0"/>
        <v>1</v>
      </c>
      <c r="H7" s="32">
        <v>1</v>
      </c>
      <c r="I7" s="15">
        <f>IF(H7&gt;0,HLOOKUP(R7/100,数值规划表!$B$37:$AA$39,3),1)</f>
        <v>1.296</v>
      </c>
      <c r="J7" s="31" t="s">
        <v>1625</v>
      </c>
      <c r="K7" s="15">
        <f>INDEX(数值规划表!$B$15:$B$18,MATCH(J7,攻击范围,0))</f>
        <v>1</v>
      </c>
      <c r="L7" s="30">
        <v>1</v>
      </c>
      <c r="M7" s="41">
        <v>0</v>
      </c>
      <c r="N7" s="15">
        <f t="shared" si="1"/>
        <v>102</v>
      </c>
      <c r="O7" s="15">
        <f t="shared" si="2"/>
        <v>3.08</v>
      </c>
      <c r="P7" s="15">
        <f>IF(G7,INDEX(monster!$J$2:$J$606,MATCH(skill!C7,monster!$A$2:$A$606,0)),Q7)</f>
        <v>6</v>
      </c>
      <c r="Q7" s="70"/>
      <c r="R7" s="33">
        <v>120</v>
      </c>
    </row>
    <row r="8" spans="1:18" s="33" customFormat="1" x14ac:dyDescent="0.15">
      <c r="A8" s="32">
        <v>10007</v>
      </c>
      <c r="B8" s="32" t="s">
        <v>2747</v>
      </c>
      <c r="C8" s="32">
        <v>8</v>
      </c>
      <c r="D8" s="32">
        <v>6</v>
      </c>
      <c r="E8" s="15">
        <f>INDEX(monster!$H$2:$H$617,MATCH(skill!C8,monster!$A$2:$A$617,0))</f>
        <v>88</v>
      </c>
      <c r="F8" s="15">
        <f>INDEX(monster!$I$2:$I$617,MATCH(C8,monster!$A$2:$A$617,0))</f>
        <v>2.67</v>
      </c>
      <c r="G8" s="15" t="b">
        <f t="shared" si="0"/>
        <v>1</v>
      </c>
      <c r="H8" s="32">
        <v>1</v>
      </c>
      <c r="I8" s="15">
        <f>IF(H8&gt;0,HLOOKUP(R8/100,数值规划表!$B$37:$AA$39,3),1)</f>
        <v>1.296</v>
      </c>
      <c r="J8" s="31" t="s">
        <v>1625</v>
      </c>
      <c r="K8" s="15">
        <f>INDEX(数值规划表!$B$15:$B$18,MATCH(J8,攻击范围,0))</f>
        <v>1</v>
      </c>
      <c r="L8" s="30">
        <v>1</v>
      </c>
      <c r="M8" s="41">
        <v>0</v>
      </c>
      <c r="N8" s="15">
        <f t="shared" si="1"/>
        <v>114</v>
      </c>
      <c r="O8" s="15">
        <f t="shared" si="2"/>
        <v>3.46</v>
      </c>
      <c r="P8" s="15">
        <f>IF(G8,INDEX(monster!$J$2:$J$606,MATCH(skill!C8,monster!$A$2:$A$606,0)),Q8)</f>
        <v>6</v>
      </c>
      <c r="Q8" s="70"/>
      <c r="R8" s="33">
        <v>120</v>
      </c>
    </row>
    <row r="9" spans="1:18" s="33" customFormat="1" x14ac:dyDescent="0.15">
      <c r="A9" s="32">
        <v>10008</v>
      </c>
      <c r="B9" s="32" t="s">
        <v>2748</v>
      </c>
      <c r="C9" s="32">
        <v>9</v>
      </c>
      <c r="D9" s="32">
        <v>7</v>
      </c>
      <c r="E9" s="15">
        <f>INDEX(monster!$H$2:$H$617,MATCH(skill!C9,monster!$A$2:$A$617,0))</f>
        <v>99</v>
      </c>
      <c r="F9" s="15">
        <f>INDEX(monster!$I$2:$I$617,MATCH(C9,monster!$A$2:$A$617,0))</f>
        <v>2.99</v>
      </c>
      <c r="G9" s="15" t="b">
        <f t="shared" si="0"/>
        <v>1</v>
      </c>
      <c r="H9" s="32">
        <v>1</v>
      </c>
      <c r="I9" s="15">
        <f>IF(H9&gt;0,HLOOKUP(R9/100,数值规划表!$B$37:$AA$39,3),1)</f>
        <v>1.296</v>
      </c>
      <c r="J9" s="31" t="s">
        <v>1625</v>
      </c>
      <c r="K9" s="15">
        <f>INDEX(数值规划表!$B$15:$B$18,MATCH(J9,攻击范围,0))</f>
        <v>1</v>
      </c>
      <c r="L9" s="30">
        <v>1</v>
      </c>
      <c r="M9" s="41">
        <v>0</v>
      </c>
      <c r="N9" s="15">
        <f t="shared" si="1"/>
        <v>128</v>
      </c>
      <c r="O9" s="15">
        <f t="shared" si="2"/>
        <v>3.88</v>
      </c>
      <c r="P9" s="15">
        <f>IF(G9,INDEX(monster!$J$2:$J$606,MATCH(skill!C9,monster!$A$2:$A$606,0)),Q9)</f>
        <v>6</v>
      </c>
      <c r="Q9" s="70"/>
      <c r="R9" s="33">
        <v>120</v>
      </c>
    </row>
    <row r="10" spans="1:18" s="33" customFormat="1" x14ac:dyDescent="0.15">
      <c r="A10" s="32">
        <v>10009</v>
      </c>
      <c r="B10" s="32" t="s">
        <v>2749</v>
      </c>
      <c r="C10" s="32">
        <v>10</v>
      </c>
      <c r="D10" s="32">
        <v>8</v>
      </c>
      <c r="E10" s="15">
        <f>INDEX(monster!$H$2:$H$617,MATCH(skill!C10,monster!$A$2:$A$617,0))</f>
        <v>111</v>
      </c>
      <c r="F10" s="15">
        <f>INDEX(monster!$I$2:$I$617,MATCH(C10,monster!$A$2:$A$617,0))</f>
        <v>3.34</v>
      </c>
      <c r="G10" s="15" t="b">
        <f t="shared" si="0"/>
        <v>1</v>
      </c>
      <c r="H10" s="32">
        <v>1</v>
      </c>
      <c r="I10" s="15">
        <f>IF(H10&gt;0,HLOOKUP(R10/100,数值规划表!$B$37:$AA$39,3),1)</f>
        <v>1.296</v>
      </c>
      <c r="J10" s="31" t="s">
        <v>1625</v>
      </c>
      <c r="K10" s="15">
        <f>INDEX(数值规划表!$B$15:$B$18,MATCH(J10,攻击范围,0))</f>
        <v>1</v>
      </c>
      <c r="L10" s="30">
        <v>1</v>
      </c>
      <c r="M10" s="41">
        <v>0</v>
      </c>
      <c r="N10" s="15">
        <f t="shared" si="1"/>
        <v>144</v>
      </c>
      <c r="O10" s="15">
        <f t="shared" si="2"/>
        <v>4.33</v>
      </c>
      <c r="P10" s="15">
        <f>IF(G10,INDEX(monster!$J$2:$J$606,MATCH(skill!C10,monster!$A$2:$A$606,0)),Q10)</f>
        <v>6</v>
      </c>
      <c r="Q10" s="70"/>
      <c r="R10" s="33">
        <v>120</v>
      </c>
    </row>
    <row r="11" spans="1:18" s="33" customFormat="1" x14ac:dyDescent="0.15">
      <c r="A11" s="32">
        <v>10010</v>
      </c>
      <c r="B11" s="32" t="s">
        <v>2750</v>
      </c>
      <c r="C11" s="32">
        <v>11</v>
      </c>
      <c r="D11" s="32">
        <v>9</v>
      </c>
      <c r="E11" s="15">
        <f>INDEX(monster!$H$2:$H$617,MATCH(skill!C11,monster!$A$2:$A$617,0))</f>
        <v>124</v>
      </c>
      <c r="F11" s="15">
        <f>INDEX(monster!$I$2:$I$617,MATCH(C11,monster!$A$2:$A$617,0))</f>
        <v>3.74</v>
      </c>
      <c r="G11" s="15" t="b">
        <f t="shared" si="0"/>
        <v>1</v>
      </c>
      <c r="H11" s="32">
        <v>1</v>
      </c>
      <c r="I11" s="15">
        <f>IF(H11&gt;0,HLOOKUP(R11/100,数值规划表!$B$37:$AA$39,3),1)</f>
        <v>1.296</v>
      </c>
      <c r="J11" s="31" t="s">
        <v>1625</v>
      </c>
      <c r="K11" s="15">
        <f>INDEX(数值规划表!$B$15:$B$18,MATCH(J11,攻击范围,0))</f>
        <v>1</v>
      </c>
      <c r="L11" s="30">
        <v>1</v>
      </c>
      <c r="M11" s="41">
        <v>0</v>
      </c>
      <c r="N11" s="15">
        <f t="shared" si="1"/>
        <v>161</v>
      </c>
      <c r="O11" s="15">
        <f t="shared" si="2"/>
        <v>4.8499999999999996</v>
      </c>
      <c r="P11" s="15">
        <f>IF(G11,INDEX(monster!$J$2:$J$606,MATCH(skill!C11,monster!$A$2:$A$606,0)),Q11)</f>
        <v>6</v>
      </c>
      <c r="Q11" s="70"/>
      <c r="R11" s="33">
        <v>120</v>
      </c>
    </row>
    <row r="12" spans="1:18" s="33" customFormat="1" x14ac:dyDescent="0.15">
      <c r="A12" s="32">
        <v>10011</v>
      </c>
      <c r="B12" s="32" t="s">
        <v>2751</v>
      </c>
      <c r="C12" s="32">
        <v>12</v>
      </c>
      <c r="D12" s="32">
        <v>10</v>
      </c>
      <c r="E12" s="15">
        <f>INDEX(monster!$H$2:$H$617,MATCH(skill!C12,monster!$A$2:$A$617,0))</f>
        <v>139</v>
      </c>
      <c r="F12" s="15">
        <f>INDEX(monster!$I$2:$I$617,MATCH(C12,monster!$A$2:$A$617,0))</f>
        <v>4.1900000000000004</v>
      </c>
      <c r="G12" s="15" t="b">
        <f t="shared" si="0"/>
        <v>1</v>
      </c>
      <c r="H12" s="32">
        <v>1</v>
      </c>
      <c r="I12" s="15">
        <f>IF(H12&gt;0,HLOOKUP(R12/100,数值规划表!$B$37:$AA$39,3),1)</f>
        <v>1.296</v>
      </c>
      <c r="J12" s="31" t="s">
        <v>1625</v>
      </c>
      <c r="K12" s="15">
        <f>INDEX(数值规划表!$B$15:$B$18,MATCH(J12,攻击范围,0))</f>
        <v>1</v>
      </c>
      <c r="L12" s="30">
        <v>1</v>
      </c>
      <c r="M12" s="41">
        <v>0</v>
      </c>
      <c r="N12" s="15">
        <f t="shared" si="1"/>
        <v>180</v>
      </c>
      <c r="O12" s="15">
        <f t="shared" si="2"/>
        <v>5.43</v>
      </c>
      <c r="P12" s="15">
        <f>IF(G12,INDEX(monster!$J$2:$J$606,MATCH(skill!C12,monster!$A$2:$A$606,0)),Q12)</f>
        <v>6</v>
      </c>
      <c r="Q12" s="70"/>
      <c r="R12" s="33">
        <v>120</v>
      </c>
    </row>
    <row r="13" spans="1:18" s="33" customFormat="1" x14ac:dyDescent="0.15">
      <c r="A13" s="32">
        <v>10012</v>
      </c>
      <c r="B13" s="32" t="s">
        <v>2752</v>
      </c>
      <c r="C13" s="32">
        <v>2</v>
      </c>
      <c r="D13" s="32">
        <v>0</v>
      </c>
      <c r="E13" s="15">
        <f>INDEX(monster!$H$2:$H$617,MATCH(skill!C13,monster!$A$2:$A$617,0))</f>
        <v>45</v>
      </c>
      <c r="F13" s="15">
        <f>INDEX(monster!$I$2:$I$617,MATCH(C13,monster!$A$2:$A$617,0))</f>
        <v>1.35</v>
      </c>
      <c r="G13" s="15" t="b">
        <f t="shared" si="0"/>
        <v>1</v>
      </c>
      <c r="H13" s="32">
        <v>1</v>
      </c>
      <c r="I13" s="15">
        <f>IF(H13&gt;0,HLOOKUP(R13/100,数值规划表!$B$37:$AA$39,3),1)</f>
        <v>1.296</v>
      </c>
      <c r="J13" s="31" t="s">
        <v>1625</v>
      </c>
      <c r="K13" s="15">
        <f>INDEX(数值规划表!$B$15:$B$18,MATCH(J13,攻击范围,0))</f>
        <v>1</v>
      </c>
      <c r="L13" s="30">
        <v>1</v>
      </c>
      <c r="M13" s="41">
        <v>0</v>
      </c>
      <c r="N13" s="15">
        <f t="shared" si="1"/>
        <v>58</v>
      </c>
      <c r="O13" s="15">
        <f t="shared" si="2"/>
        <v>1.75</v>
      </c>
      <c r="P13" s="15">
        <f>IF(G13,INDEX(monster!$J$2:$J$606,MATCH(skill!C13,monster!$A$2:$A$606,0)),Q13)</f>
        <v>6</v>
      </c>
      <c r="Q13" s="70"/>
      <c r="R13" s="33">
        <v>120</v>
      </c>
    </row>
    <row r="14" spans="1:18" s="33" customFormat="1" x14ac:dyDescent="0.15">
      <c r="A14" s="32">
        <v>10013</v>
      </c>
      <c r="B14" s="32" t="s">
        <v>2753</v>
      </c>
      <c r="C14" s="32">
        <v>13</v>
      </c>
      <c r="D14" s="32">
        <v>1</v>
      </c>
      <c r="E14" s="15">
        <f>INDEX(monster!$H$2:$H$617,MATCH(skill!C14,monster!$A$2:$A$617,0))</f>
        <v>50</v>
      </c>
      <c r="F14" s="15">
        <f>INDEX(monster!$I$2:$I$617,MATCH(C14,monster!$A$2:$A$617,0))</f>
        <v>1.51</v>
      </c>
      <c r="G14" s="15" t="b">
        <f t="shared" si="0"/>
        <v>1</v>
      </c>
      <c r="H14" s="32">
        <v>1</v>
      </c>
      <c r="I14" s="15">
        <f>IF(H14&gt;0,HLOOKUP(R14/100,数值规划表!$B$37:$AA$39,3),1)</f>
        <v>1.296</v>
      </c>
      <c r="J14" s="31" t="s">
        <v>1625</v>
      </c>
      <c r="K14" s="15">
        <f>INDEX(数值规划表!$B$15:$B$18,MATCH(J14,攻击范围,0))</f>
        <v>1</v>
      </c>
      <c r="L14" s="30">
        <v>1</v>
      </c>
      <c r="M14" s="41">
        <v>0</v>
      </c>
      <c r="N14" s="15">
        <f t="shared" si="1"/>
        <v>65</v>
      </c>
      <c r="O14" s="15">
        <f t="shared" si="2"/>
        <v>1.96</v>
      </c>
      <c r="P14" s="15">
        <f>IF(G14,INDEX(monster!$J$2:$J$606,MATCH(skill!C14,monster!$A$2:$A$606,0)),Q14)</f>
        <v>6</v>
      </c>
      <c r="Q14" s="70"/>
      <c r="R14" s="33">
        <v>120</v>
      </c>
    </row>
    <row r="15" spans="1:18" s="33" customFormat="1" x14ac:dyDescent="0.15">
      <c r="A15" s="32">
        <v>10014</v>
      </c>
      <c r="B15" s="32" t="s">
        <v>2754</v>
      </c>
      <c r="C15" s="32">
        <v>14</v>
      </c>
      <c r="D15" s="32">
        <v>2</v>
      </c>
      <c r="E15" s="15">
        <f>INDEX(monster!$H$2:$H$617,MATCH(skill!C15,monster!$A$2:$A$617,0))</f>
        <v>56</v>
      </c>
      <c r="F15" s="15">
        <f>INDEX(monster!$I$2:$I$617,MATCH(C15,monster!$A$2:$A$617,0))</f>
        <v>1.69</v>
      </c>
      <c r="G15" s="15" t="b">
        <f t="shared" si="0"/>
        <v>1</v>
      </c>
      <c r="H15" s="32">
        <v>1</v>
      </c>
      <c r="I15" s="15">
        <f>IF(H15&gt;0,HLOOKUP(R15/100,数值规划表!$B$37:$AA$39,3),1)</f>
        <v>1.296</v>
      </c>
      <c r="J15" s="31" t="s">
        <v>1625</v>
      </c>
      <c r="K15" s="15">
        <f>INDEX(数值规划表!$B$15:$B$18,MATCH(J15,攻击范围,0))</f>
        <v>1</v>
      </c>
      <c r="L15" s="30">
        <v>1</v>
      </c>
      <c r="M15" s="41">
        <v>0</v>
      </c>
      <c r="N15" s="15">
        <f t="shared" si="1"/>
        <v>73</v>
      </c>
      <c r="O15" s="15">
        <f t="shared" si="2"/>
        <v>2.19</v>
      </c>
      <c r="P15" s="15">
        <f>IF(G15,INDEX(monster!$J$2:$J$606,MATCH(skill!C15,monster!$A$2:$A$606,0)),Q15)</f>
        <v>6</v>
      </c>
      <c r="Q15" s="70"/>
      <c r="R15" s="33">
        <v>120</v>
      </c>
    </row>
    <row r="16" spans="1:18" s="33" customFormat="1" x14ac:dyDescent="0.15">
      <c r="A16" s="32">
        <v>10015</v>
      </c>
      <c r="B16" s="32" t="s">
        <v>2755</v>
      </c>
      <c r="C16" s="32">
        <v>15</v>
      </c>
      <c r="D16" s="32">
        <v>3</v>
      </c>
      <c r="E16" s="15">
        <f>INDEX(monster!$H$2:$H$617,MATCH(skill!C16,monster!$A$2:$A$617,0))</f>
        <v>63</v>
      </c>
      <c r="F16" s="15">
        <f>INDEX(monster!$I$2:$I$617,MATCH(C16,monster!$A$2:$A$617,0))</f>
        <v>1.9</v>
      </c>
      <c r="G16" s="15" t="b">
        <f t="shared" si="0"/>
        <v>1</v>
      </c>
      <c r="H16" s="32">
        <v>1</v>
      </c>
      <c r="I16" s="15">
        <f>IF(H16&gt;0,HLOOKUP(R16/100,数值规划表!$B$37:$AA$39,3),1)</f>
        <v>1.296</v>
      </c>
      <c r="J16" s="31" t="s">
        <v>1625</v>
      </c>
      <c r="K16" s="15">
        <f>INDEX(数值规划表!$B$15:$B$18,MATCH(J16,攻击范围,0))</f>
        <v>1</v>
      </c>
      <c r="L16" s="30">
        <v>1</v>
      </c>
      <c r="M16" s="41">
        <v>0</v>
      </c>
      <c r="N16" s="15">
        <f t="shared" si="1"/>
        <v>82</v>
      </c>
      <c r="O16" s="15">
        <f t="shared" si="2"/>
        <v>2.46</v>
      </c>
      <c r="P16" s="15">
        <f>IF(G16,INDEX(monster!$J$2:$J$606,MATCH(skill!C16,monster!$A$2:$A$606,0)),Q16)</f>
        <v>6</v>
      </c>
      <c r="Q16" s="70"/>
      <c r="R16" s="33">
        <v>120</v>
      </c>
    </row>
    <row r="17" spans="1:18" s="33" customFormat="1" x14ac:dyDescent="0.15">
      <c r="A17" s="32">
        <v>10016</v>
      </c>
      <c r="B17" s="32" t="s">
        <v>2756</v>
      </c>
      <c r="C17" s="32">
        <v>16</v>
      </c>
      <c r="D17" s="32">
        <v>4</v>
      </c>
      <c r="E17" s="15">
        <f>INDEX(monster!$H$2:$H$617,MATCH(skill!C17,monster!$A$2:$A$617,0))</f>
        <v>70</v>
      </c>
      <c r="F17" s="15">
        <f>INDEX(monster!$I$2:$I$617,MATCH(C17,monster!$A$2:$A$617,0))</f>
        <v>2.12</v>
      </c>
      <c r="G17" s="15" t="b">
        <f t="shared" si="0"/>
        <v>1</v>
      </c>
      <c r="H17" s="32">
        <v>1</v>
      </c>
      <c r="I17" s="15">
        <f>IF(H17&gt;0,HLOOKUP(R17/100,数值规划表!$B$37:$AA$39,3),1)</f>
        <v>1.296</v>
      </c>
      <c r="J17" s="31" t="s">
        <v>1625</v>
      </c>
      <c r="K17" s="15">
        <f>INDEX(数值规划表!$B$15:$B$18,MATCH(J17,攻击范围,0))</f>
        <v>1</v>
      </c>
      <c r="L17" s="30">
        <v>1</v>
      </c>
      <c r="M17" s="41">
        <v>0</v>
      </c>
      <c r="N17" s="15">
        <f t="shared" si="1"/>
        <v>91</v>
      </c>
      <c r="O17" s="15">
        <f t="shared" si="2"/>
        <v>2.75</v>
      </c>
      <c r="P17" s="15">
        <f>IF(G17,INDEX(monster!$J$2:$J$606,MATCH(skill!C17,monster!$A$2:$A$606,0)),Q17)</f>
        <v>6</v>
      </c>
      <c r="Q17" s="70"/>
      <c r="R17" s="33">
        <v>120</v>
      </c>
    </row>
    <row r="18" spans="1:18" s="33" customFormat="1" x14ac:dyDescent="0.15">
      <c r="A18" s="32">
        <v>10017</v>
      </c>
      <c r="B18" s="32" t="s">
        <v>2757</v>
      </c>
      <c r="C18" s="32">
        <v>17</v>
      </c>
      <c r="D18" s="32">
        <v>5</v>
      </c>
      <c r="E18" s="15">
        <f>INDEX(monster!$H$2:$H$617,MATCH(skill!C18,monster!$A$2:$A$617,0))</f>
        <v>79</v>
      </c>
      <c r="F18" s="15">
        <f>INDEX(monster!$I$2:$I$617,MATCH(C18,monster!$A$2:$A$617,0))</f>
        <v>2.38</v>
      </c>
      <c r="G18" s="15" t="b">
        <f t="shared" si="0"/>
        <v>1</v>
      </c>
      <c r="H18" s="32">
        <v>1</v>
      </c>
      <c r="I18" s="15">
        <f>IF(H18&gt;0,HLOOKUP(R18/100,数值规划表!$B$37:$AA$39,3),1)</f>
        <v>1.296</v>
      </c>
      <c r="J18" s="31" t="s">
        <v>1625</v>
      </c>
      <c r="K18" s="15">
        <f>INDEX(数值规划表!$B$15:$B$18,MATCH(J18,攻击范围,0))</f>
        <v>1</v>
      </c>
      <c r="L18" s="30">
        <v>1</v>
      </c>
      <c r="M18" s="41">
        <v>0</v>
      </c>
      <c r="N18" s="15">
        <f t="shared" si="1"/>
        <v>102</v>
      </c>
      <c r="O18" s="15">
        <f t="shared" si="2"/>
        <v>3.08</v>
      </c>
      <c r="P18" s="15">
        <f>IF(G18,INDEX(monster!$J$2:$J$606,MATCH(skill!C18,monster!$A$2:$A$606,0)),Q18)</f>
        <v>6</v>
      </c>
      <c r="Q18" s="70"/>
      <c r="R18" s="33">
        <v>120</v>
      </c>
    </row>
    <row r="19" spans="1:18" s="33" customFormat="1" x14ac:dyDescent="0.15">
      <c r="A19" s="32">
        <v>10018</v>
      </c>
      <c r="B19" s="32" t="s">
        <v>2758</v>
      </c>
      <c r="C19" s="32">
        <v>18</v>
      </c>
      <c r="D19" s="32">
        <v>6</v>
      </c>
      <c r="E19" s="15">
        <f>INDEX(monster!$H$2:$H$617,MATCH(skill!C19,monster!$A$2:$A$617,0))</f>
        <v>88</v>
      </c>
      <c r="F19" s="15">
        <f>INDEX(monster!$I$2:$I$617,MATCH(C19,monster!$A$2:$A$617,0))</f>
        <v>2.67</v>
      </c>
      <c r="G19" s="15" t="b">
        <f t="shared" si="0"/>
        <v>1</v>
      </c>
      <c r="H19" s="32">
        <v>1</v>
      </c>
      <c r="I19" s="15">
        <f>IF(H19&gt;0,HLOOKUP(R19/100,数值规划表!$B$37:$AA$39,3),1)</f>
        <v>1.296</v>
      </c>
      <c r="J19" s="31" t="s">
        <v>1625</v>
      </c>
      <c r="K19" s="15">
        <f>INDEX(数值规划表!$B$15:$B$18,MATCH(J19,攻击范围,0))</f>
        <v>1</v>
      </c>
      <c r="L19" s="30">
        <v>1</v>
      </c>
      <c r="M19" s="41">
        <v>0</v>
      </c>
      <c r="N19" s="15">
        <f t="shared" si="1"/>
        <v>114</v>
      </c>
      <c r="O19" s="15">
        <f t="shared" si="2"/>
        <v>3.46</v>
      </c>
      <c r="P19" s="15">
        <f>IF(G19,INDEX(monster!$J$2:$J$606,MATCH(skill!C19,monster!$A$2:$A$606,0)),Q19)</f>
        <v>6</v>
      </c>
      <c r="Q19" s="70"/>
      <c r="R19" s="33">
        <v>120</v>
      </c>
    </row>
    <row r="20" spans="1:18" s="33" customFormat="1" x14ac:dyDescent="0.15">
      <c r="A20" s="32">
        <v>10019</v>
      </c>
      <c r="B20" s="32" t="s">
        <v>2759</v>
      </c>
      <c r="C20" s="32">
        <v>19</v>
      </c>
      <c r="D20" s="32">
        <v>7</v>
      </c>
      <c r="E20" s="15">
        <f>INDEX(monster!$H$2:$H$617,MATCH(skill!C20,monster!$A$2:$A$617,0))</f>
        <v>99</v>
      </c>
      <c r="F20" s="15">
        <f>INDEX(monster!$I$2:$I$617,MATCH(C20,monster!$A$2:$A$617,0))</f>
        <v>2.99</v>
      </c>
      <c r="G20" s="15" t="b">
        <f t="shared" si="0"/>
        <v>1</v>
      </c>
      <c r="H20" s="32">
        <v>1</v>
      </c>
      <c r="I20" s="15">
        <f>IF(H20&gt;0,HLOOKUP(R20/100,数值规划表!$B$37:$AA$39,3),1)</f>
        <v>1.296</v>
      </c>
      <c r="J20" s="31" t="s">
        <v>1625</v>
      </c>
      <c r="K20" s="15">
        <f>INDEX(数值规划表!$B$15:$B$18,MATCH(J20,攻击范围,0))</f>
        <v>1</v>
      </c>
      <c r="L20" s="30">
        <v>1</v>
      </c>
      <c r="M20" s="41">
        <v>0</v>
      </c>
      <c r="N20" s="15">
        <f t="shared" si="1"/>
        <v>128</v>
      </c>
      <c r="O20" s="15">
        <f t="shared" si="2"/>
        <v>3.88</v>
      </c>
      <c r="P20" s="15">
        <f>IF(G20,INDEX(monster!$J$2:$J$606,MATCH(skill!C20,monster!$A$2:$A$606,0)),Q20)</f>
        <v>6</v>
      </c>
      <c r="Q20" s="70"/>
      <c r="R20" s="33">
        <v>120</v>
      </c>
    </row>
    <row r="21" spans="1:18" s="33" customFormat="1" x14ac:dyDescent="0.15">
      <c r="A21" s="32">
        <v>10020</v>
      </c>
      <c r="B21" s="32" t="s">
        <v>2760</v>
      </c>
      <c r="C21" s="32">
        <v>20</v>
      </c>
      <c r="D21" s="32">
        <v>8</v>
      </c>
      <c r="E21" s="15">
        <f>INDEX(monster!$H$2:$H$617,MATCH(skill!C21,monster!$A$2:$A$617,0))</f>
        <v>111</v>
      </c>
      <c r="F21" s="15">
        <f>INDEX(monster!$I$2:$I$617,MATCH(C21,monster!$A$2:$A$617,0))</f>
        <v>3.34</v>
      </c>
      <c r="G21" s="15" t="b">
        <f t="shared" si="0"/>
        <v>1</v>
      </c>
      <c r="H21" s="32">
        <v>1</v>
      </c>
      <c r="I21" s="15">
        <f>IF(H21&gt;0,HLOOKUP(R21/100,数值规划表!$B$37:$AA$39,3),1)</f>
        <v>1.296</v>
      </c>
      <c r="J21" s="31" t="s">
        <v>1625</v>
      </c>
      <c r="K21" s="15">
        <f>INDEX(数值规划表!$B$15:$B$18,MATCH(J21,攻击范围,0))</f>
        <v>1</v>
      </c>
      <c r="L21" s="30">
        <v>1</v>
      </c>
      <c r="M21" s="41">
        <v>0</v>
      </c>
      <c r="N21" s="15">
        <f t="shared" si="1"/>
        <v>144</v>
      </c>
      <c r="O21" s="15">
        <f t="shared" si="2"/>
        <v>4.33</v>
      </c>
      <c r="P21" s="15">
        <f>IF(G21,INDEX(monster!$J$2:$J$606,MATCH(skill!C21,monster!$A$2:$A$606,0)),Q21)</f>
        <v>6</v>
      </c>
      <c r="Q21" s="70"/>
      <c r="R21" s="33">
        <v>120</v>
      </c>
    </row>
    <row r="22" spans="1:18" s="33" customFormat="1" x14ac:dyDescent="0.15">
      <c r="A22" s="32">
        <v>10021</v>
      </c>
      <c r="B22" s="32" t="s">
        <v>2761</v>
      </c>
      <c r="C22" s="32">
        <v>21</v>
      </c>
      <c r="D22" s="32">
        <v>9</v>
      </c>
      <c r="E22" s="15">
        <f>INDEX(monster!$H$2:$H$617,MATCH(skill!C22,monster!$A$2:$A$617,0))</f>
        <v>124</v>
      </c>
      <c r="F22" s="15">
        <f>INDEX(monster!$I$2:$I$617,MATCH(C22,monster!$A$2:$A$617,0))</f>
        <v>3.74</v>
      </c>
      <c r="G22" s="15" t="b">
        <f t="shared" si="0"/>
        <v>1</v>
      </c>
      <c r="H22" s="32">
        <v>1</v>
      </c>
      <c r="I22" s="15">
        <f>IF(H22&gt;0,HLOOKUP(R22/100,数值规划表!$B$37:$AA$39,3),1)</f>
        <v>1.296</v>
      </c>
      <c r="J22" s="31" t="s">
        <v>1625</v>
      </c>
      <c r="K22" s="15">
        <f>INDEX(数值规划表!$B$15:$B$18,MATCH(J22,攻击范围,0))</f>
        <v>1</v>
      </c>
      <c r="L22" s="30">
        <v>1</v>
      </c>
      <c r="M22" s="41">
        <v>0</v>
      </c>
      <c r="N22" s="15">
        <f t="shared" si="1"/>
        <v>161</v>
      </c>
      <c r="O22" s="15">
        <f t="shared" si="2"/>
        <v>4.8499999999999996</v>
      </c>
      <c r="P22" s="15">
        <f>IF(G22,INDEX(monster!$J$2:$J$606,MATCH(skill!C22,monster!$A$2:$A$606,0)),Q22)</f>
        <v>6</v>
      </c>
      <c r="Q22" s="70"/>
      <c r="R22" s="33">
        <v>120</v>
      </c>
    </row>
    <row r="23" spans="1:18" s="33" customFormat="1" x14ac:dyDescent="0.15">
      <c r="A23" s="32">
        <v>10022</v>
      </c>
      <c r="B23" s="32" t="s">
        <v>2762</v>
      </c>
      <c r="C23" s="32">
        <v>22</v>
      </c>
      <c r="D23" s="32">
        <v>10</v>
      </c>
      <c r="E23" s="15">
        <f>INDEX(monster!$H$2:$H$617,MATCH(skill!C23,monster!$A$2:$A$617,0))</f>
        <v>139</v>
      </c>
      <c r="F23" s="15">
        <f>INDEX(monster!$I$2:$I$617,MATCH(C23,monster!$A$2:$A$617,0))</f>
        <v>4.1900000000000004</v>
      </c>
      <c r="G23" s="15" t="b">
        <f t="shared" si="0"/>
        <v>1</v>
      </c>
      <c r="H23" s="32">
        <v>1</v>
      </c>
      <c r="I23" s="15">
        <f>IF(H23&gt;0,HLOOKUP(R23/100,数值规划表!$B$37:$AA$39,3),1)</f>
        <v>1.296</v>
      </c>
      <c r="J23" s="31" t="s">
        <v>1625</v>
      </c>
      <c r="K23" s="15">
        <f>INDEX(数值规划表!$B$15:$B$18,MATCH(J23,攻击范围,0))</f>
        <v>1</v>
      </c>
      <c r="L23" s="30">
        <v>1</v>
      </c>
      <c r="M23" s="41">
        <v>0</v>
      </c>
      <c r="N23" s="15">
        <f t="shared" si="1"/>
        <v>180</v>
      </c>
      <c r="O23" s="15">
        <f t="shared" si="2"/>
        <v>5.43</v>
      </c>
      <c r="P23" s="15">
        <f>IF(G23,INDEX(monster!$J$2:$J$606,MATCH(skill!C23,monster!$A$2:$A$606,0)),Q23)</f>
        <v>6</v>
      </c>
      <c r="Q23" s="70"/>
      <c r="R23" s="33">
        <v>120</v>
      </c>
    </row>
    <row r="24" spans="1:18" s="33" customFormat="1" x14ac:dyDescent="0.15">
      <c r="A24" s="32">
        <v>10023</v>
      </c>
      <c r="B24" s="32" t="s">
        <v>2763</v>
      </c>
      <c r="C24" s="32">
        <v>2001</v>
      </c>
      <c r="D24" s="32">
        <v>0</v>
      </c>
      <c r="E24" s="15">
        <f>INDEX(monster!$H$2:$H$617,MATCH(skill!C24,monster!$A$2:$A$617,0))</f>
        <v>47</v>
      </c>
      <c r="F24" s="15">
        <f>INDEX(monster!$I$2:$I$617,MATCH(C24,monster!$A$2:$A$617,0))</f>
        <v>1.43</v>
      </c>
      <c r="G24" s="15" t="b">
        <f t="shared" si="0"/>
        <v>1</v>
      </c>
      <c r="H24" s="32">
        <v>1</v>
      </c>
      <c r="I24" s="15">
        <f>IF(H24&gt;0,HLOOKUP(R24/100,数值规划表!$B$37:$AA$39,3),1)</f>
        <v>1</v>
      </c>
      <c r="J24" s="31" t="s">
        <v>1625</v>
      </c>
      <c r="K24" s="15">
        <f>INDEX(数值规划表!$B$15:$B$18,MATCH(J24,攻击范围,0))</f>
        <v>1</v>
      </c>
      <c r="L24" s="30">
        <v>1</v>
      </c>
      <c r="M24" s="41">
        <v>0</v>
      </c>
      <c r="N24" s="15">
        <f t="shared" si="1"/>
        <v>47</v>
      </c>
      <c r="O24" s="15">
        <f t="shared" si="2"/>
        <v>1.43</v>
      </c>
      <c r="P24" s="15">
        <f>IF(G24,INDEX(monster!$J$2:$J$606,MATCH(skill!C24,monster!$A$2:$A$606,0)),Q24)</f>
        <v>7</v>
      </c>
      <c r="Q24" s="70"/>
      <c r="R24" s="33">
        <v>100</v>
      </c>
    </row>
    <row r="25" spans="1:18" s="33" customFormat="1" x14ac:dyDescent="0.15">
      <c r="A25" s="32">
        <v>10024</v>
      </c>
      <c r="B25" s="32" t="s">
        <v>2764</v>
      </c>
      <c r="C25" s="32">
        <v>2002</v>
      </c>
      <c r="D25" s="32">
        <v>1</v>
      </c>
      <c r="E25" s="15">
        <f>INDEX(monster!$H$2:$H$617,MATCH(skill!C25,monster!$A$2:$A$617,0))</f>
        <v>53</v>
      </c>
      <c r="F25" s="15">
        <f>INDEX(monster!$I$2:$I$617,MATCH(C25,monster!$A$2:$A$617,0))</f>
        <v>1.6</v>
      </c>
      <c r="G25" s="15" t="b">
        <f t="shared" si="0"/>
        <v>1</v>
      </c>
      <c r="H25" s="32">
        <v>1</v>
      </c>
      <c r="I25" s="15">
        <f>IF(H25&gt;0,HLOOKUP(R25/100,数值规划表!$B$37:$AA$39,3),1)</f>
        <v>1</v>
      </c>
      <c r="J25" s="31" t="s">
        <v>1625</v>
      </c>
      <c r="K25" s="15">
        <f>INDEX(数值规划表!$B$15:$B$18,MATCH(J25,攻击范围,0))</f>
        <v>1</v>
      </c>
      <c r="L25" s="30">
        <v>1</v>
      </c>
      <c r="M25" s="41">
        <v>0</v>
      </c>
      <c r="N25" s="15">
        <f t="shared" si="1"/>
        <v>53</v>
      </c>
      <c r="O25" s="15">
        <f t="shared" si="2"/>
        <v>1.6</v>
      </c>
      <c r="P25" s="15">
        <f>IF(G25,INDEX(monster!$J$2:$J$606,MATCH(skill!C25,monster!$A$2:$A$606,0)),Q25)</f>
        <v>7</v>
      </c>
      <c r="Q25" s="70"/>
      <c r="R25" s="33">
        <v>100</v>
      </c>
    </row>
    <row r="26" spans="1:18" s="33" customFormat="1" x14ac:dyDescent="0.15">
      <c r="A26" s="32">
        <v>10025</v>
      </c>
      <c r="B26" s="32" t="s">
        <v>2765</v>
      </c>
      <c r="C26" s="32">
        <v>2003</v>
      </c>
      <c r="D26" s="32">
        <v>2</v>
      </c>
      <c r="E26" s="15">
        <f>INDEX(monster!$H$2:$H$617,MATCH(skill!C26,monster!$A$2:$A$617,0))</f>
        <v>59</v>
      </c>
      <c r="F26" s="15">
        <f>INDEX(monster!$I$2:$I$617,MATCH(C26,monster!$A$2:$A$617,0))</f>
        <v>1.8</v>
      </c>
      <c r="G26" s="15" t="b">
        <f t="shared" si="0"/>
        <v>1</v>
      </c>
      <c r="H26" s="32">
        <v>1</v>
      </c>
      <c r="I26" s="15">
        <f>IF(H26&gt;0,HLOOKUP(R26/100,数值规划表!$B$37:$AA$39,3),1)</f>
        <v>1</v>
      </c>
      <c r="J26" s="31" t="s">
        <v>1625</v>
      </c>
      <c r="K26" s="15">
        <f>INDEX(数值规划表!$B$15:$B$18,MATCH(J26,攻击范围,0))</f>
        <v>1</v>
      </c>
      <c r="L26" s="30">
        <v>1</v>
      </c>
      <c r="M26" s="41">
        <v>0</v>
      </c>
      <c r="N26" s="15">
        <f t="shared" si="1"/>
        <v>59</v>
      </c>
      <c r="O26" s="15">
        <f t="shared" si="2"/>
        <v>1.8</v>
      </c>
      <c r="P26" s="15">
        <f>IF(G26,INDEX(monster!$J$2:$J$606,MATCH(skill!C26,monster!$A$2:$A$606,0)),Q26)</f>
        <v>7</v>
      </c>
      <c r="Q26" s="70"/>
      <c r="R26" s="33">
        <v>100</v>
      </c>
    </row>
    <row r="27" spans="1:18" s="33" customFormat="1" x14ac:dyDescent="0.15">
      <c r="A27" s="32">
        <v>10026</v>
      </c>
      <c r="B27" s="32" t="s">
        <v>2766</v>
      </c>
      <c r="C27" s="32">
        <v>2004</v>
      </c>
      <c r="D27" s="32">
        <v>3</v>
      </c>
      <c r="E27" s="15">
        <f>INDEX(monster!$H$2:$H$617,MATCH(skill!C27,monster!$A$2:$A$617,0))</f>
        <v>67</v>
      </c>
      <c r="F27" s="15">
        <f>INDEX(monster!$I$2:$I$617,MATCH(C27,monster!$A$2:$A$617,0))</f>
        <v>2.0099999999999998</v>
      </c>
      <c r="G27" s="15" t="b">
        <f t="shared" si="0"/>
        <v>1</v>
      </c>
      <c r="H27" s="32">
        <v>1</v>
      </c>
      <c r="I27" s="15">
        <f>IF(H27&gt;0,HLOOKUP(R27/100,数值规划表!$B$37:$AA$39,3),1)</f>
        <v>1</v>
      </c>
      <c r="J27" s="31" t="s">
        <v>1625</v>
      </c>
      <c r="K27" s="15">
        <f>INDEX(数值规划表!$B$15:$B$18,MATCH(J27,攻击范围,0))</f>
        <v>1</v>
      </c>
      <c r="L27" s="30">
        <v>1</v>
      </c>
      <c r="M27" s="41">
        <v>0</v>
      </c>
      <c r="N27" s="15">
        <f t="shared" si="1"/>
        <v>67</v>
      </c>
      <c r="O27" s="15">
        <f t="shared" si="2"/>
        <v>2.0099999999999998</v>
      </c>
      <c r="P27" s="15">
        <f>IF(G27,INDEX(monster!$J$2:$J$606,MATCH(skill!C27,monster!$A$2:$A$606,0)),Q27)</f>
        <v>7</v>
      </c>
      <c r="Q27" s="70"/>
      <c r="R27" s="33">
        <v>100</v>
      </c>
    </row>
    <row r="28" spans="1:18" s="33" customFormat="1" x14ac:dyDescent="0.15">
      <c r="A28" s="32">
        <v>10027</v>
      </c>
      <c r="B28" s="32" t="s">
        <v>2767</v>
      </c>
      <c r="C28" s="32">
        <v>2005</v>
      </c>
      <c r="D28" s="32">
        <v>4</v>
      </c>
      <c r="E28" s="15">
        <f>INDEX(monster!$H$2:$H$617,MATCH(skill!C28,monster!$A$2:$A$617,0))</f>
        <v>75</v>
      </c>
      <c r="F28" s="15">
        <f>INDEX(monster!$I$2:$I$617,MATCH(C28,monster!$A$2:$A$617,0))</f>
        <v>2.25</v>
      </c>
      <c r="G28" s="15" t="b">
        <f t="shared" si="0"/>
        <v>1</v>
      </c>
      <c r="H28" s="32">
        <v>1</v>
      </c>
      <c r="I28" s="15">
        <f>IF(H28&gt;0,HLOOKUP(R28/100,数值规划表!$B$37:$AA$39,3),1)</f>
        <v>1</v>
      </c>
      <c r="J28" s="31" t="s">
        <v>1625</v>
      </c>
      <c r="K28" s="15">
        <f>INDEX(数值规划表!$B$15:$B$18,MATCH(J28,攻击范围,0))</f>
        <v>1</v>
      </c>
      <c r="L28" s="30">
        <v>1</v>
      </c>
      <c r="M28" s="41">
        <v>0</v>
      </c>
      <c r="N28" s="15">
        <f t="shared" si="1"/>
        <v>75</v>
      </c>
      <c r="O28" s="15">
        <f t="shared" si="2"/>
        <v>2.25</v>
      </c>
      <c r="P28" s="15">
        <f>IF(G28,INDEX(monster!$J$2:$J$606,MATCH(skill!C28,monster!$A$2:$A$606,0)),Q28)</f>
        <v>7</v>
      </c>
      <c r="Q28" s="70"/>
      <c r="R28" s="33">
        <v>100</v>
      </c>
    </row>
    <row r="29" spans="1:18" s="33" customFormat="1" x14ac:dyDescent="0.15">
      <c r="A29" s="32">
        <v>10028</v>
      </c>
      <c r="B29" s="32" t="s">
        <v>2768</v>
      </c>
      <c r="C29" s="32">
        <v>2006</v>
      </c>
      <c r="D29" s="32">
        <v>5</v>
      </c>
      <c r="E29" s="15">
        <f>INDEX(monster!$H$2:$H$617,MATCH(skill!C29,monster!$A$2:$A$617,0))</f>
        <v>84</v>
      </c>
      <c r="F29" s="15">
        <f>INDEX(monster!$I$2:$I$617,MATCH(C29,monster!$A$2:$A$617,0))</f>
        <v>2.52</v>
      </c>
      <c r="G29" s="15" t="b">
        <f t="shared" si="0"/>
        <v>1</v>
      </c>
      <c r="H29" s="32">
        <v>1</v>
      </c>
      <c r="I29" s="15">
        <f>IF(H29&gt;0,HLOOKUP(R29/100,数值规划表!$B$37:$AA$39,3),1)</f>
        <v>1</v>
      </c>
      <c r="J29" s="31" t="s">
        <v>1625</v>
      </c>
      <c r="K29" s="15">
        <f>INDEX(数值规划表!$B$15:$B$18,MATCH(J29,攻击范围,0))</f>
        <v>1</v>
      </c>
      <c r="L29" s="30">
        <v>1</v>
      </c>
      <c r="M29" s="41">
        <v>0</v>
      </c>
      <c r="N29" s="15">
        <f t="shared" si="1"/>
        <v>84</v>
      </c>
      <c r="O29" s="15">
        <f t="shared" si="2"/>
        <v>2.52</v>
      </c>
      <c r="P29" s="15">
        <f>IF(G29,INDEX(monster!$J$2:$J$606,MATCH(skill!C29,monster!$A$2:$A$606,0)),Q29)</f>
        <v>7</v>
      </c>
      <c r="Q29" s="70"/>
      <c r="R29" s="33">
        <v>100</v>
      </c>
    </row>
    <row r="30" spans="1:18" s="33" customFormat="1" x14ac:dyDescent="0.15">
      <c r="A30" s="32">
        <v>10029</v>
      </c>
      <c r="B30" s="32" t="s">
        <v>2769</v>
      </c>
      <c r="C30" s="32">
        <v>2007</v>
      </c>
      <c r="D30" s="32">
        <v>6</v>
      </c>
      <c r="E30" s="15">
        <f>INDEX(monster!$H$2:$H$617,MATCH(skill!C30,monster!$A$2:$A$617,0))</f>
        <v>94</v>
      </c>
      <c r="F30" s="15">
        <f>INDEX(monster!$I$2:$I$617,MATCH(C30,monster!$A$2:$A$617,0))</f>
        <v>2.83</v>
      </c>
      <c r="G30" s="15" t="b">
        <f t="shared" si="0"/>
        <v>1</v>
      </c>
      <c r="H30" s="32">
        <v>1</v>
      </c>
      <c r="I30" s="15">
        <f>IF(H30&gt;0,HLOOKUP(R30/100,数值规划表!$B$37:$AA$39,3),1)</f>
        <v>1</v>
      </c>
      <c r="J30" s="31" t="s">
        <v>1625</v>
      </c>
      <c r="K30" s="15">
        <f>INDEX(数值规划表!$B$15:$B$18,MATCH(J30,攻击范围,0))</f>
        <v>1</v>
      </c>
      <c r="L30" s="30">
        <v>1</v>
      </c>
      <c r="M30" s="41">
        <v>0</v>
      </c>
      <c r="N30" s="15">
        <f t="shared" si="1"/>
        <v>94</v>
      </c>
      <c r="O30" s="15">
        <f t="shared" si="2"/>
        <v>2.83</v>
      </c>
      <c r="P30" s="15">
        <f>IF(G30,INDEX(monster!$J$2:$J$606,MATCH(skill!C30,monster!$A$2:$A$606,0)),Q30)</f>
        <v>7</v>
      </c>
      <c r="Q30" s="70"/>
      <c r="R30" s="33">
        <v>100</v>
      </c>
    </row>
    <row r="31" spans="1:18" s="33" customFormat="1" x14ac:dyDescent="0.15">
      <c r="A31" s="32">
        <v>10030</v>
      </c>
      <c r="B31" s="32" t="s">
        <v>2770</v>
      </c>
      <c r="C31" s="32">
        <v>2008</v>
      </c>
      <c r="D31" s="32">
        <v>7</v>
      </c>
      <c r="E31" s="15">
        <f>INDEX(monster!$H$2:$H$617,MATCH(skill!C31,monster!$A$2:$A$617,0))</f>
        <v>105</v>
      </c>
      <c r="F31" s="15">
        <f>INDEX(monster!$I$2:$I$617,MATCH(C31,monster!$A$2:$A$617,0))</f>
        <v>3.17</v>
      </c>
      <c r="G31" s="15" t="b">
        <f t="shared" si="0"/>
        <v>1</v>
      </c>
      <c r="H31" s="32">
        <v>1</v>
      </c>
      <c r="I31" s="15">
        <f>IF(H31&gt;0,HLOOKUP(R31/100,数值规划表!$B$37:$AA$39,3),1)</f>
        <v>1</v>
      </c>
      <c r="J31" s="31" t="s">
        <v>1625</v>
      </c>
      <c r="K31" s="15">
        <f>INDEX(数值规划表!$B$15:$B$18,MATCH(J31,攻击范围,0))</f>
        <v>1</v>
      </c>
      <c r="L31" s="30">
        <v>1</v>
      </c>
      <c r="M31" s="41">
        <v>0</v>
      </c>
      <c r="N31" s="15">
        <f t="shared" si="1"/>
        <v>105</v>
      </c>
      <c r="O31" s="15">
        <f t="shared" si="2"/>
        <v>3.17</v>
      </c>
      <c r="P31" s="15">
        <f>IF(G31,INDEX(monster!$J$2:$J$606,MATCH(skill!C31,monster!$A$2:$A$606,0)),Q31)</f>
        <v>7</v>
      </c>
      <c r="Q31" s="70"/>
      <c r="R31" s="33">
        <v>100</v>
      </c>
    </row>
    <row r="32" spans="1:18" s="33" customFormat="1" x14ac:dyDescent="0.15">
      <c r="A32" s="32">
        <v>10031</v>
      </c>
      <c r="B32" s="32" t="s">
        <v>2771</v>
      </c>
      <c r="C32" s="32">
        <v>2009</v>
      </c>
      <c r="D32" s="32">
        <v>8</v>
      </c>
      <c r="E32" s="15">
        <f>INDEX(monster!$H$2:$H$617,MATCH(skill!C32,monster!$A$2:$A$617,0))</f>
        <v>118</v>
      </c>
      <c r="F32" s="15">
        <f>INDEX(monster!$I$2:$I$617,MATCH(C32,monster!$A$2:$A$617,0))</f>
        <v>3.55</v>
      </c>
      <c r="G32" s="15" t="b">
        <f t="shared" si="0"/>
        <v>1</v>
      </c>
      <c r="H32" s="32">
        <v>1</v>
      </c>
      <c r="I32" s="15">
        <f>IF(H32&gt;0,HLOOKUP(R32/100,数值规划表!$B$37:$AA$39,3),1)</f>
        <v>1</v>
      </c>
      <c r="J32" s="31" t="s">
        <v>1625</v>
      </c>
      <c r="K32" s="15">
        <f>INDEX(数值规划表!$B$15:$B$18,MATCH(J32,攻击范围,0))</f>
        <v>1</v>
      </c>
      <c r="L32" s="30">
        <v>1</v>
      </c>
      <c r="M32" s="41">
        <v>0</v>
      </c>
      <c r="N32" s="15">
        <f t="shared" si="1"/>
        <v>118</v>
      </c>
      <c r="O32" s="15">
        <f t="shared" si="2"/>
        <v>3.55</v>
      </c>
      <c r="P32" s="15">
        <f>IF(G32,INDEX(monster!$J$2:$J$606,MATCH(skill!C32,monster!$A$2:$A$606,0)),Q32)</f>
        <v>7</v>
      </c>
      <c r="Q32" s="70"/>
      <c r="R32" s="33">
        <v>100</v>
      </c>
    </row>
    <row r="33" spans="1:18" s="33" customFormat="1" x14ac:dyDescent="0.15">
      <c r="A33" s="32">
        <v>10032</v>
      </c>
      <c r="B33" s="32" t="s">
        <v>2772</v>
      </c>
      <c r="C33" s="32">
        <v>2010</v>
      </c>
      <c r="D33" s="32">
        <v>9</v>
      </c>
      <c r="E33" s="15">
        <f>INDEX(monster!$H$2:$H$617,MATCH(skill!C33,monster!$A$2:$A$617,0))</f>
        <v>132</v>
      </c>
      <c r="F33" s="15">
        <f>INDEX(monster!$I$2:$I$617,MATCH(C33,monster!$A$2:$A$617,0))</f>
        <v>3.97</v>
      </c>
      <c r="G33" s="15" t="b">
        <f t="shared" si="0"/>
        <v>1</v>
      </c>
      <c r="H33" s="32">
        <v>1</v>
      </c>
      <c r="I33" s="15">
        <f>IF(H33&gt;0,HLOOKUP(R33/100,数值规划表!$B$37:$AA$39,3),1)</f>
        <v>1</v>
      </c>
      <c r="J33" s="31" t="s">
        <v>1625</v>
      </c>
      <c r="K33" s="15">
        <f>INDEX(数值规划表!$B$15:$B$18,MATCH(J33,攻击范围,0))</f>
        <v>1</v>
      </c>
      <c r="L33" s="30">
        <v>1</v>
      </c>
      <c r="M33" s="41">
        <v>0</v>
      </c>
      <c r="N33" s="15">
        <f t="shared" si="1"/>
        <v>132</v>
      </c>
      <c r="O33" s="15">
        <f t="shared" si="2"/>
        <v>3.97</v>
      </c>
      <c r="P33" s="15">
        <f>IF(G33,INDEX(monster!$J$2:$J$606,MATCH(skill!C33,monster!$A$2:$A$606,0)),Q33)</f>
        <v>7</v>
      </c>
      <c r="Q33" s="70"/>
      <c r="R33" s="33">
        <v>100</v>
      </c>
    </row>
    <row r="34" spans="1:18" s="33" customFormat="1" x14ac:dyDescent="0.15">
      <c r="A34" s="32">
        <v>10033</v>
      </c>
      <c r="B34" s="32" t="s">
        <v>2773</v>
      </c>
      <c r="C34" s="32">
        <v>2011</v>
      </c>
      <c r="D34" s="32">
        <v>10</v>
      </c>
      <c r="E34" s="15">
        <f>INDEX(monster!$H$2:$H$617,MATCH(skill!C34,monster!$A$2:$A$617,0))</f>
        <v>148</v>
      </c>
      <c r="F34" s="15">
        <f>INDEX(monster!$I$2:$I$617,MATCH(C34,monster!$A$2:$A$617,0))</f>
        <v>4.45</v>
      </c>
      <c r="G34" s="15" t="b">
        <f t="shared" si="0"/>
        <v>1</v>
      </c>
      <c r="H34" s="32">
        <v>1</v>
      </c>
      <c r="I34" s="15">
        <f>IF(H34&gt;0,HLOOKUP(R34/100,数值规划表!$B$37:$AA$39,3),1)</f>
        <v>1</v>
      </c>
      <c r="J34" s="31" t="s">
        <v>1625</v>
      </c>
      <c r="K34" s="15">
        <f>INDEX(数值规划表!$B$15:$B$18,MATCH(J34,攻击范围,0))</f>
        <v>1</v>
      </c>
      <c r="L34" s="30">
        <v>1</v>
      </c>
      <c r="M34" s="41">
        <v>0</v>
      </c>
      <c r="N34" s="15">
        <f t="shared" si="1"/>
        <v>148</v>
      </c>
      <c r="O34" s="15">
        <f t="shared" si="2"/>
        <v>4.45</v>
      </c>
      <c r="P34" s="15">
        <f>IF(G34,INDEX(monster!$J$2:$J$606,MATCH(skill!C34,monster!$A$2:$A$606,0)),Q34)</f>
        <v>7</v>
      </c>
      <c r="Q34" s="70"/>
      <c r="R34" s="33">
        <v>100</v>
      </c>
    </row>
    <row r="35" spans="1:18" s="33" customFormat="1" x14ac:dyDescent="0.15">
      <c r="A35" s="32">
        <v>10034</v>
      </c>
      <c r="B35" s="32" t="s">
        <v>2774</v>
      </c>
      <c r="C35" s="32">
        <v>2012</v>
      </c>
      <c r="D35" s="32">
        <v>0</v>
      </c>
      <c r="E35" s="15">
        <f>INDEX(monster!$H$2:$H$617,MATCH(skill!C35,monster!$A$2:$A$617,0))</f>
        <v>61</v>
      </c>
      <c r="F35" s="15">
        <f>INDEX(monster!$I$2:$I$617,MATCH(C35,monster!$A$2:$A$617,0))</f>
        <v>1.97</v>
      </c>
      <c r="G35" s="15" t="b">
        <f t="shared" si="0"/>
        <v>1</v>
      </c>
      <c r="H35" s="32">
        <v>1</v>
      </c>
      <c r="I35" s="15">
        <f>IF(H35&gt;0,HLOOKUP(R35/100,数值规划表!$B$37:$AA$39,3),1)</f>
        <v>1.7999999999999998</v>
      </c>
      <c r="J35" s="31" t="s">
        <v>1625</v>
      </c>
      <c r="K35" s="15">
        <f>INDEX(数值规划表!$B$15:$B$18,MATCH(J35,攻击范围,0))</f>
        <v>1</v>
      </c>
      <c r="L35" s="30">
        <v>1</v>
      </c>
      <c r="M35" s="41">
        <v>0</v>
      </c>
      <c r="N35" s="15">
        <f t="shared" si="1"/>
        <v>110</v>
      </c>
      <c r="O35" s="15">
        <f t="shared" si="2"/>
        <v>3.55</v>
      </c>
      <c r="P35" s="15">
        <f>IF(G35,INDEX(monster!$J$2:$J$606,MATCH(skill!C35,monster!$A$2:$A$606,0)),Q35)</f>
        <v>5</v>
      </c>
      <c r="Q35" s="70"/>
      <c r="R35" s="33">
        <v>150</v>
      </c>
    </row>
    <row r="36" spans="1:18" s="33" customFormat="1" x14ac:dyDescent="0.15">
      <c r="A36" s="32">
        <v>10035</v>
      </c>
      <c r="B36" s="32" t="s">
        <v>2775</v>
      </c>
      <c r="C36" s="32">
        <v>2013</v>
      </c>
      <c r="D36" s="32">
        <v>1</v>
      </c>
      <c r="E36" s="15">
        <f>INDEX(monster!$H$2:$H$617,MATCH(skill!C36,monster!$A$2:$A$617,0))</f>
        <v>69</v>
      </c>
      <c r="F36" s="15">
        <f>INDEX(monster!$I$2:$I$617,MATCH(C36,monster!$A$2:$A$617,0))</f>
        <v>2.21</v>
      </c>
      <c r="G36" s="15" t="b">
        <f t="shared" si="0"/>
        <v>1</v>
      </c>
      <c r="H36" s="32">
        <v>1</v>
      </c>
      <c r="I36" s="15">
        <f>IF(H36&gt;0,HLOOKUP(R36/100,数值规划表!$B$37:$AA$39,3),1)</f>
        <v>1.7999999999999998</v>
      </c>
      <c r="J36" s="31" t="s">
        <v>1625</v>
      </c>
      <c r="K36" s="15">
        <f>INDEX(数值规划表!$B$15:$B$18,MATCH(J36,攻击范围,0))</f>
        <v>1</v>
      </c>
      <c r="L36" s="30">
        <v>1</v>
      </c>
      <c r="M36" s="41">
        <v>0</v>
      </c>
      <c r="N36" s="15">
        <f t="shared" si="1"/>
        <v>124</v>
      </c>
      <c r="O36" s="15">
        <f t="shared" si="2"/>
        <v>3.98</v>
      </c>
      <c r="P36" s="15">
        <f>IF(G36,INDEX(monster!$J$2:$J$606,MATCH(skill!C36,monster!$A$2:$A$606,0)),Q36)</f>
        <v>5</v>
      </c>
      <c r="Q36" s="70"/>
      <c r="R36" s="33">
        <v>150</v>
      </c>
    </row>
    <row r="37" spans="1:18" s="33" customFormat="1" x14ac:dyDescent="0.15">
      <c r="A37" s="32">
        <v>10036</v>
      </c>
      <c r="B37" s="32" t="s">
        <v>2776</v>
      </c>
      <c r="C37" s="32">
        <v>2014</v>
      </c>
      <c r="D37" s="32">
        <v>2</v>
      </c>
      <c r="E37" s="15">
        <f>INDEX(monster!$H$2:$H$617,MATCH(skill!C37,monster!$A$2:$A$617,0))</f>
        <v>77</v>
      </c>
      <c r="F37" s="15">
        <f>INDEX(monster!$I$2:$I$617,MATCH(C37,monster!$A$2:$A$617,0))</f>
        <v>2.4700000000000002</v>
      </c>
      <c r="G37" s="15" t="b">
        <f t="shared" si="0"/>
        <v>1</v>
      </c>
      <c r="H37" s="32">
        <v>1</v>
      </c>
      <c r="I37" s="15">
        <f>IF(H37&gt;0,HLOOKUP(R37/100,数值规划表!$B$37:$AA$39,3),1)</f>
        <v>1.7999999999999998</v>
      </c>
      <c r="J37" s="31" t="s">
        <v>1625</v>
      </c>
      <c r="K37" s="15">
        <f>INDEX(数值规划表!$B$15:$B$18,MATCH(J37,攻击范围,0))</f>
        <v>1</v>
      </c>
      <c r="L37" s="30">
        <v>1</v>
      </c>
      <c r="M37" s="41">
        <v>0</v>
      </c>
      <c r="N37" s="15">
        <f t="shared" si="1"/>
        <v>139</v>
      </c>
      <c r="O37" s="15">
        <f t="shared" si="2"/>
        <v>4.45</v>
      </c>
      <c r="P37" s="15">
        <f>IF(G37,INDEX(monster!$J$2:$J$606,MATCH(skill!C37,monster!$A$2:$A$606,0)),Q37)</f>
        <v>5</v>
      </c>
      <c r="Q37" s="70"/>
      <c r="R37" s="33">
        <v>150</v>
      </c>
    </row>
    <row r="38" spans="1:18" s="33" customFormat="1" x14ac:dyDescent="0.15">
      <c r="A38" s="32">
        <v>10037</v>
      </c>
      <c r="B38" s="32" t="s">
        <v>2777</v>
      </c>
      <c r="C38" s="32">
        <v>2015</v>
      </c>
      <c r="D38" s="32">
        <v>3</v>
      </c>
      <c r="E38" s="15">
        <f>INDEX(monster!$H$2:$H$617,MATCH(skill!C38,monster!$A$2:$A$617,0))</f>
        <v>86</v>
      </c>
      <c r="F38" s="15">
        <f>INDEX(monster!$I$2:$I$617,MATCH(C38,monster!$A$2:$A$617,0))</f>
        <v>2.77</v>
      </c>
      <c r="G38" s="15" t="b">
        <f t="shared" si="0"/>
        <v>1</v>
      </c>
      <c r="H38" s="32">
        <v>1</v>
      </c>
      <c r="I38" s="15">
        <f>IF(H38&gt;0,HLOOKUP(R38/100,数值规划表!$B$37:$AA$39,3),1)</f>
        <v>1.7999999999999998</v>
      </c>
      <c r="J38" s="31" t="s">
        <v>1625</v>
      </c>
      <c r="K38" s="15">
        <f>INDEX(数值规划表!$B$15:$B$18,MATCH(J38,攻击范围,0))</f>
        <v>1</v>
      </c>
      <c r="L38" s="30">
        <v>1</v>
      </c>
      <c r="M38" s="41">
        <v>0</v>
      </c>
      <c r="N38" s="15">
        <f t="shared" si="1"/>
        <v>155</v>
      </c>
      <c r="O38" s="15">
        <f t="shared" si="2"/>
        <v>4.99</v>
      </c>
      <c r="P38" s="15">
        <f>IF(G38,INDEX(monster!$J$2:$J$606,MATCH(skill!C38,monster!$A$2:$A$606,0)),Q38)</f>
        <v>5</v>
      </c>
      <c r="Q38" s="70"/>
      <c r="R38" s="33">
        <v>150</v>
      </c>
    </row>
    <row r="39" spans="1:18" s="33" customFormat="1" x14ac:dyDescent="0.15">
      <c r="A39" s="32">
        <v>10038</v>
      </c>
      <c r="B39" s="32" t="s">
        <v>2778</v>
      </c>
      <c r="C39" s="32">
        <v>2016</v>
      </c>
      <c r="D39" s="32">
        <v>4</v>
      </c>
      <c r="E39" s="15">
        <f>INDEX(monster!$H$2:$H$617,MATCH(skill!C39,monster!$A$2:$A$617,0))</f>
        <v>97</v>
      </c>
      <c r="F39" s="15">
        <f>INDEX(monster!$I$2:$I$617,MATCH(C39,monster!$A$2:$A$617,0))</f>
        <v>3.1</v>
      </c>
      <c r="G39" s="15" t="b">
        <f t="shared" si="0"/>
        <v>1</v>
      </c>
      <c r="H39" s="32">
        <v>1</v>
      </c>
      <c r="I39" s="15">
        <f>IF(H39&gt;0,HLOOKUP(R39/100,数值规划表!$B$37:$AA$39,3),1)</f>
        <v>1.7999999999999998</v>
      </c>
      <c r="J39" s="31" t="s">
        <v>1625</v>
      </c>
      <c r="K39" s="15">
        <f>INDEX(数值规划表!$B$15:$B$18,MATCH(J39,攻击范围,0))</f>
        <v>1</v>
      </c>
      <c r="L39" s="30">
        <v>1</v>
      </c>
      <c r="M39" s="41">
        <v>0</v>
      </c>
      <c r="N39" s="15">
        <f t="shared" si="1"/>
        <v>175</v>
      </c>
      <c r="O39" s="15">
        <f t="shared" si="2"/>
        <v>5.58</v>
      </c>
      <c r="P39" s="15">
        <f>IF(G39,INDEX(monster!$J$2:$J$606,MATCH(skill!C39,monster!$A$2:$A$606,0)),Q39)</f>
        <v>5</v>
      </c>
      <c r="Q39" s="70"/>
      <c r="R39" s="33">
        <v>150</v>
      </c>
    </row>
    <row r="40" spans="1:18" s="33" customFormat="1" x14ac:dyDescent="0.15">
      <c r="A40" s="32">
        <v>10039</v>
      </c>
      <c r="B40" s="32" t="s">
        <v>2779</v>
      </c>
      <c r="C40" s="32">
        <v>2017</v>
      </c>
      <c r="D40" s="32">
        <v>5</v>
      </c>
      <c r="E40" s="15">
        <f>INDEX(monster!$H$2:$H$617,MATCH(skill!C40,monster!$A$2:$A$617,0))</f>
        <v>108</v>
      </c>
      <c r="F40" s="15">
        <f>INDEX(monster!$I$2:$I$617,MATCH(C40,monster!$A$2:$A$617,0))</f>
        <v>3.47</v>
      </c>
      <c r="G40" s="15" t="b">
        <f t="shared" si="0"/>
        <v>1</v>
      </c>
      <c r="H40" s="32">
        <v>1</v>
      </c>
      <c r="I40" s="15">
        <f>IF(H40&gt;0,HLOOKUP(R40/100,数值规划表!$B$37:$AA$39,3),1)</f>
        <v>1.7999999999999998</v>
      </c>
      <c r="J40" s="31" t="s">
        <v>1625</v>
      </c>
      <c r="K40" s="15">
        <f>INDEX(数值规划表!$B$15:$B$18,MATCH(J40,攻击范围,0))</f>
        <v>1</v>
      </c>
      <c r="L40" s="30">
        <v>1</v>
      </c>
      <c r="M40" s="41">
        <v>0</v>
      </c>
      <c r="N40" s="15">
        <f t="shared" si="1"/>
        <v>194</v>
      </c>
      <c r="O40" s="15">
        <f t="shared" si="2"/>
        <v>6.25</v>
      </c>
      <c r="P40" s="15">
        <f>IF(G40,INDEX(monster!$J$2:$J$606,MATCH(skill!C40,monster!$A$2:$A$606,0)),Q40)</f>
        <v>5</v>
      </c>
      <c r="Q40" s="70"/>
      <c r="R40" s="33">
        <v>150</v>
      </c>
    </row>
    <row r="41" spans="1:18" s="33" customFormat="1" x14ac:dyDescent="0.15">
      <c r="A41" s="32">
        <v>10040</v>
      </c>
      <c r="B41" s="32" t="s">
        <v>2780</v>
      </c>
      <c r="C41" s="32">
        <v>2018</v>
      </c>
      <c r="D41" s="32">
        <v>6</v>
      </c>
      <c r="E41" s="15">
        <f>INDEX(monster!$H$2:$H$617,MATCH(skill!C41,monster!$A$2:$A$617,0))</f>
        <v>121</v>
      </c>
      <c r="F41" s="15">
        <f>INDEX(monster!$I$2:$I$617,MATCH(C41,monster!$A$2:$A$617,0))</f>
        <v>3.89</v>
      </c>
      <c r="G41" s="15" t="b">
        <f t="shared" si="0"/>
        <v>1</v>
      </c>
      <c r="H41" s="32">
        <v>1</v>
      </c>
      <c r="I41" s="15">
        <f>IF(H41&gt;0,HLOOKUP(R41/100,数值规划表!$B$37:$AA$39,3),1)</f>
        <v>1.7999999999999998</v>
      </c>
      <c r="J41" s="31" t="s">
        <v>1625</v>
      </c>
      <c r="K41" s="15">
        <f>INDEX(数值规划表!$B$15:$B$18,MATCH(J41,攻击范围,0))</f>
        <v>1</v>
      </c>
      <c r="L41" s="30">
        <v>1</v>
      </c>
      <c r="M41" s="41">
        <v>0</v>
      </c>
      <c r="N41" s="15">
        <f t="shared" si="1"/>
        <v>218</v>
      </c>
      <c r="O41" s="15">
        <f t="shared" si="2"/>
        <v>7</v>
      </c>
      <c r="P41" s="15">
        <f>IF(G41,INDEX(monster!$J$2:$J$606,MATCH(skill!C41,monster!$A$2:$A$606,0)),Q41)</f>
        <v>5</v>
      </c>
      <c r="Q41" s="70"/>
      <c r="R41" s="33">
        <v>150</v>
      </c>
    </row>
    <row r="42" spans="1:18" s="33" customFormat="1" x14ac:dyDescent="0.15">
      <c r="A42" s="32">
        <v>10041</v>
      </c>
      <c r="B42" s="32" t="s">
        <v>2781</v>
      </c>
      <c r="C42" s="32">
        <v>2019</v>
      </c>
      <c r="D42" s="32">
        <v>7</v>
      </c>
      <c r="E42" s="15">
        <f>INDEX(monster!$H$2:$H$617,MATCH(skill!C42,monster!$A$2:$A$617,0))</f>
        <v>136</v>
      </c>
      <c r="F42" s="15">
        <f>INDEX(monster!$I$2:$I$617,MATCH(C42,monster!$A$2:$A$617,0))</f>
        <v>4.3499999999999996</v>
      </c>
      <c r="G42" s="15" t="b">
        <f t="shared" si="0"/>
        <v>1</v>
      </c>
      <c r="H42" s="32">
        <v>1</v>
      </c>
      <c r="I42" s="15">
        <f>IF(H42&gt;0,HLOOKUP(R42/100,数值规划表!$B$37:$AA$39,3),1)</f>
        <v>1.7999999999999998</v>
      </c>
      <c r="J42" s="31" t="s">
        <v>1625</v>
      </c>
      <c r="K42" s="15">
        <f>INDEX(数值规划表!$B$15:$B$18,MATCH(J42,攻击范围,0))</f>
        <v>1</v>
      </c>
      <c r="L42" s="30">
        <v>1</v>
      </c>
      <c r="M42" s="41">
        <v>0</v>
      </c>
      <c r="N42" s="15">
        <f t="shared" si="1"/>
        <v>245</v>
      </c>
      <c r="O42" s="15">
        <f t="shared" si="2"/>
        <v>7.83</v>
      </c>
      <c r="P42" s="15">
        <f>IF(G42,INDEX(monster!$J$2:$J$606,MATCH(skill!C42,monster!$A$2:$A$606,0)),Q42)</f>
        <v>5</v>
      </c>
      <c r="Q42" s="70"/>
      <c r="R42" s="33">
        <v>150</v>
      </c>
    </row>
    <row r="43" spans="1:18" s="33" customFormat="1" x14ac:dyDescent="0.15">
      <c r="A43" s="32">
        <v>10042</v>
      </c>
      <c r="B43" s="32" t="s">
        <v>2782</v>
      </c>
      <c r="C43" s="32">
        <v>2020</v>
      </c>
      <c r="D43" s="32">
        <v>8</v>
      </c>
      <c r="E43" s="15">
        <f>INDEX(monster!$H$2:$H$617,MATCH(skill!C43,monster!$A$2:$A$617,0))</f>
        <v>152</v>
      </c>
      <c r="F43" s="15">
        <f>INDEX(monster!$I$2:$I$617,MATCH(C43,monster!$A$2:$A$617,0))</f>
        <v>4.88</v>
      </c>
      <c r="G43" s="15" t="b">
        <f t="shared" si="0"/>
        <v>1</v>
      </c>
      <c r="H43" s="32">
        <v>1</v>
      </c>
      <c r="I43" s="15">
        <f>IF(H43&gt;0,HLOOKUP(R43/100,数值规划表!$B$37:$AA$39,3),1)</f>
        <v>1.7999999999999998</v>
      </c>
      <c r="J43" s="31" t="s">
        <v>1625</v>
      </c>
      <c r="K43" s="15">
        <f>INDEX(数值规划表!$B$15:$B$18,MATCH(J43,攻击范围,0))</f>
        <v>1</v>
      </c>
      <c r="L43" s="30">
        <v>1</v>
      </c>
      <c r="M43" s="41">
        <v>0</v>
      </c>
      <c r="N43" s="15">
        <f t="shared" si="1"/>
        <v>274</v>
      </c>
      <c r="O43" s="15">
        <f t="shared" si="2"/>
        <v>8.7799999999999994</v>
      </c>
      <c r="P43" s="15">
        <f>IF(G43,INDEX(monster!$J$2:$J$606,MATCH(skill!C43,monster!$A$2:$A$606,0)),Q43)</f>
        <v>5</v>
      </c>
      <c r="Q43" s="70"/>
      <c r="R43" s="33">
        <v>150</v>
      </c>
    </row>
    <row r="44" spans="1:18" s="33" customFormat="1" x14ac:dyDescent="0.15">
      <c r="A44" s="32">
        <v>10043</v>
      </c>
      <c r="B44" s="32" t="s">
        <v>2783</v>
      </c>
      <c r="C44" s="32">
        <v>2021</v>
      </c>
      <c r="D44" s="32">
        <v>9</v>
      </c>
      <c r="E44" s="15">
        <f>INDEX(monster!$H$2:$H$617,MATCH(skill!C44,monster!$A$2:$A$617,0))</f>
        <v>171</v>
      </c>
      <c r="F44" s="15">
        <f>INDEX(monster!$I$2:$I$617,MATCH(C44,monster!$A$2:$A$617,0))</f>
        <v>5.46</v>
      </c>
      <c r="G44" s="15" t="b">
        <f t="shared" si="0"/>
        <v>1</v>
      </c>
      <c r="H44" s="32">
        <v>1</v>
      </c>
      <c r="I44" s="15">
        <f>IF(H44&gt;0,HLOOKUP(R44/100,数值规划表!$B$37:$AA$39,3),1)</f>
        <v>1.7999999999999998</v>
      </c>
      <c r="J44" s="31" t="s">
        <v>1625</v>
      </c>
      <c r="K44" s="15">
        <f>INDEX(数值规划表!$B$15:$B$18,MATCH(J44,攻击范围,0))</f>
        <v>1</v>
      </c>
      <c r="L44" s="30">
        <v>1</v>
      </c>
      <c r="M44" s="41">
        <v>0</v>
      </c>
      <c r="N44" s="15">
        <f t="shared" si="1"/>
        <v>308</v>
      </c>
      <c r="O44" s="15">
        <f t="shared" si="2"/>
        <v>9.83</v>
      </c>
      <c r="P44" s="15">
        <f>IF(G44,INDEX(monster!$J$2:$J$606,MATCH(skill!C44,monster!$A$2:$A$606,0)),Q44)</f>
        <v>5</v>
      </c>
      <c r="Q44" s="70"/>
      <c r="R44" s="33">
        <v>150</v>
      </c>
    </row>
    <row r="45" spans="1:18" s="33" customFormat="1" x14ac:dyDescent="0.15">
      <c r="A45" s="32">
        <v>10044</v>
      </c>
      <c r="B45" s="32" t="s">
        <v>2784</v>
      </c>
      <c r="C45" s="32">
        <v>2022</v>
      </c>
      <c r="D45" s="32">
        <v>10</v>
      </c>
      <c r="E45" s="15">
        <f>INDEX(monster!$H$2:$H$617,MATCH(skill!C45,monster!$A$2:$A$617,0))</f>
        <v>191</v>
      </c>
      <c r="F45" s="15">
        <f>INDEX(monster!$I$2:$I$617,MATCH(C45,monster!$A$2:$A$617,0))</f>
        <v>6.12</v>
      </c>
      <c r="G45" s="15" t="b">
        <f t="shared" si="0"/>
        <v>1</v>
      </c>
      <c r="H45" s="32">
        <v>1</v>
      </c>
      <c r="I45" s="15">
        <f>IF(H45&gt;0,HLOOKUP(R45/100,数值规划表!$B$37:$AA$39,3),1)</f>
        <v>1.7999999999999998</v>
      </c>
      <c r="J45" s="31" t="s">
        <v>1625</v>
      </c>
      <c r="K45" s="15">
        <f>INDEX(数值规划表!$B$15:$B$18,MATCH(J45,攻击范围,0))</f>
        <v>1</v>
      </c>
      <c r="L45" s="30">
        <v>1</v>
      </c>
      <c r="M45" s="41">
        <v>0</v>
      </c>
      <c r="N45" s="15">
        <f t="shared" si="1"/>
        <v>344</v>
      </c>
      <c r="O45" s="15">
        <f t="shared" si="2"/>
        <v>11.02</v>
      </c>
      <c r="P45" s="15">
        <f>IF(G45,INDEX(monster!$J$2:$J$606,MATCH(skill!C45,monster!$A$2:$A$606,0)),Q45)</f>
        <v>5</v>
      </c>
      <c r="Q45" s="70"/>
      <c r="R45" s="33">
        <v>150</v>
      </c>
    </row>
    <row r="46" spans="1:18" s="38" customFormat="1" x14ac:dyDescent="0.15">
      <c r="A46" s="32">
        <v>10045</v>
      </c>
      <c r="B46" s="32" t="s">
        <v>2785</v>
      </c>
      <c r="C46" s="32">
        <v>1001</v>
      </c>
      <c r="D46" s="32">
        <v>0</v>
      </c>
      <c r="E46" s="15">
        <f>INDEX(monster!$H$2:$H$617,MATCH(skill!C46,monster!$A$2:$A$617,0))</f>
        <v>77.28</v>
      </c>
      <c r="F46" s="15">
        <f>INDEX(monster!$I$2:$I$617,MATCH(C46,monster!$A$2:$A$617,0))</f>
        <v>2.3199999999999998</v>
      </c>
      <c r="G46" s="15" t="b">
        <f t="shared" si="0"/>
        <v>1</v>
      </c>
      <c r="H46" s="32">
        <v>1</v>
      </c>
      <c r="I46" s="15">
        <f>IF(H46&gt;0,HLOOKUP(R46/100,数值规划表!$B$37:$AA$39,3),1)</f>
        <v>1.296</v>
      </c>
      <c r="J46" s="31" t="s">
        <v>1625</v>
      </c>
      <c r="K46" s="15">
        <f>INDEX(数值规划表!$B$15:$B$18,MATCH(J46,攻击范围,0))</f>
        <v>1</v>
      </c>
      <c r="L46" s="30">
        <v>1</v>
      </c>
      <c r="M46" s="41">
        <v>0</v>
      </c>
      <c r="N46" s="15">
        <f t="shared" si="1"/>
        <v>100</v>
      </c>
      <c r="O46" s="15">
        <f t="shared" si="2"/>
        <v>3.01</v>
      </c>
      <c r="P46" s="15">
        <f>IF(G46,INDEX(monster!$J$2:$J$606,MATCH(skill!C46,monster!$A$2:$A$606,0)),Q46)</f>
        <v>1.2</v>
      </c>
      <c r="Q46" s="70"/>
      <c r="R46" s="33">
        <v>120</v>
      </c>
    </row>
    <row r="47" spans="1:18" s="38" customFormat="1" x14ac:dyDescent="0.15">
      <c r="A47" s="32">
        <v>10046</v>
      </c>
      <c r="B47" s="32" t="s">
        <v>2786</v>
      </c>
      <c r="C47" s="32">
        <v>1002</v>
      </c>
      <c r="D47" s="32">
        <v>1</v>
      </c>
      <c r="E47" s="15">
        <f>INDEX(monster!$H$2:$H$617,MATCH(skill!C47,monster!$A$2:$A$617,0))</f>
        <v>86.55</v>
      </c>
      <c r="F47" s="15">
        <f>INDEX(monster!$I$2:$I$617,MATCH(C47,monster!$A$2:$A$617,0))</f>
        <v>2.6</v>
      </c>
      <c r="G47" s="15" t="b">
        <f t="shared" si="0"/>
        <v>1</v>
      </c>
      <c r="H47" s="32">
        <v>1</v>
      </c>
      <c r="I47" s="15">
        <f>IF(H47&gt;0,HLOOKUP(R47/100,数值规划表!$B$37:$AA$39,3),1)</f>
        <v>1.296</v>
      </c>
      <c r="J47" s="31" t="s">
        <v>1625</v>
      </c>
      <c r="K47" s="15">
        <f>INDEX(数值规划表!$B$15:$B$18,MATCH(J47,攻击范围,0))</f>
        <v>1</v>
      </c>
      <c r="L47" s="70">
        <v>1</v>
      </c>
      <c r="M47" s="41">
        <v>0</v>
      </c>
      <c r="N47" s="15">
        <f t="shared" si="1"/>
        <v>112</v>
      </c>
      <c r="O47" s="15">
        <f t="shared" si="2"/>
        <v>3.37</v>
      </c>
      <c r="P47" s="15">
        <f>IF(G47,INDEX(monster!$J$2:$J$606,MATCH(skill!C47,monster!$A$2:$A$606,0)),Q47)</f>
        <v>1.2</v>
      </c>
      <c r="Q47" s="70"/>
      <c r="R47" s="33">
        <v>120</v>
      </c>
    </row>
    <row r="48" spans="1:18" s="38" customFormat="1" x14ac:dyDescent="0.15">
      <c r="A48" s="32">
        <v>10047</v>
      </c>
      <c r="B48" s="32" t="s">
        <v>2787</v>
      </c>
      <c r="C48" s="32">
        <v>1003</v>
      </c>
      <c r="D48" s="32">
        <v>2</v>
      </c>
      <c r="E48" s="15">
        <f>INDEX(monster!$H$2:$H$617,MATCH(skill!C48,monster!$A$2:$A$617,0))</f>
        <v>96.94</v>
      </c>
      <c r="F48" s="15">
        <f>INDEX(monster!$I$2:$I$617,MATCH(C48,monster!$A$2:$A$617,0))</f>
        <v>2.91</v>
      </c>
      <c r="G48" s="15" t="b">
        <f t="shared" si="0"/>
        <v>1</v>
      </c>
      <c r="H48" s="32">
        <v>1</v>
      </c>
      <c r="I48" s="15">
        <f>IF(H48&gt;0,HLOOKUP(R48/100,数值规划表!$B$37:$AA$39,3),1)</f>
        <v>1.296</v>
      </c>
      <c r="J48" s="31" t="s">
        <v>1625</v>
      </c>
      <c r="K48" s="15">
        <f>INDEX(数值规划表!$B$15:$B$18,MATCH(J48,攻击范围,0))</f>
        <v>1</v>
      </c>
      <c r="L48" s="70">
        <v>1</v>
      </c>
      <c r="M48" s="41">
        <v>0</v>
      </c>
      <c r="N48" s="15">
        <f t="shared" si="1"/>
        <v>126</v>
      </c>
      <c r="O48" s="15">
        <f t="shared" si="2"/>
        <v>3.77</v>
      </c>
      <c r="P48" s="15">
        <f>IF(G48,INDEX(monster!$J$2:$J$606,MATCH(skill!C48,monster!$A$2:$A$606,0)),Q48)</f>
        <v>1.2</v>
      </c>
      <c r="Q48" s="70"/>
      <c r="R48" s="33">
        <v>120</v>
      </c>
    </row>
    <row r="49" spans="1:18" s="38" customFormat="1" x14ac:dyDescent="0.15">
      <c r="A49" s="32">
        <v>10048</v>
      </c>
      <c r="B49" s="32" t="s">
        <v>612</v>
      </c>
      <c r="C49" s="32">
        <v>1004</v>
      </c>
      <c r="D49" s="32">
        <v>3</v>
      </c>
      <c r="E49" s="15">
        <f>INDEX(monster!$H$2:$H$617,MATCH(skill!C49,monster!$A$2:$A$617,0))</f>
        <v>108.57</v>
      </c>
      <c r="F49" s="15">
        <f>INDEX(monster!$I$2:$I$617,MATCH(C49,monster!$A$2:$A$617,0))</f>
        <v>3.26</v>
      </c>
      <c r="G49" s="15" t="b">
        <f t="shared" si="0"/>
        <v>1</v>
      </c>
      <c r="H49" s="32">
        <v>1</v>
      </c>
      <c r="I49" s="15">
        <f>IF(H49&gt;0,HLOOKUP(R49/100,数值规划表!$B$37:$AA$39,3),1)</f>
        <v>1.296</v>
      </c>
      <c r="J49" s="31" t="s">
        <v>1625</v>
      </c>
      <c r="K49" s="15">
        <f>INDEX(数值规划表!$B$15:$B$18,MATCH(J49,攻击范围,0))</f>
        <v>1</v>
      </c>
      <c r="L49" s="70">
        <v>1</v>
      </c>
      <c r="M49" s="41">
        <v>0</v>
      </c>
      <c r="N49" s="15">
        <f t="shared" si="1"/>
        <v>141</v>
      </c>
      <c r="O49" s="15">
        <f t="shared" si="2"/>
        <v>4.22</v>
      </c>
      <c r="P49" s="15">
        <f>IF(G49,INDEX(monster!$J$2:$J$606,MATCH(skill!C49,monster!$A$2:$A$606,0)),Q49)</f>
        <v>1.2</v>
      </c>
      <c r="Q49" s="70"/>
      <c r="R49" s="33">
        <v>120</v>
      </c>
    </row>
    <row r="50" spans="1:18" s="38" customFormat="1" x14ac:dyDescent="0.15">
      <c r="A50" s="32">
        <v>10049</v>
      </c>
      <c r="B50" s="32" t="s">
        <v>613</v>
      </c>
      <c r="C50" s="32">
        <v>1005</v>
      </c>
      <c r="D50" s="32">
        <v>4</v>
      </c>
      <c r="E50" s="15">
        <f>INDEX(monster!$H$2:$H$617,MATCH(skill!C50,monster!$A$2:$A$617,0))</f>
        <v>121.6</v>
      </c>
      <c r="F50" s="15">
        <f>INDEX(monster!$I$2:$I$617,MATCH(C50,monster!$A$2:$A$617,0))</f>
        <v>3.65</v>
      </c>
      <c r="G50" s="15" t="b">
        <f t="shared" si="0"/>
        <v>1</v>
      </c>
      <c r="H50" s="32">
        <v>1</v>
      </c>
      <c r="I50" s="15">
        <f>IF(H50&gt;0,HLOOKUP(R50/100,数值规划表!$B$37:$AA$39,3),1)</f>
        <v>1.296</v>
      </c>
      <c r="J50" s="31" t="s">
        <v>1625</v>
      </c>
      <c r="K50" s="15">
        <f>INDEX(数值规划表!$B$15:$B$18,MATCH(J50,攻击范围,0))</f>
        <v>1</v>
      </c>
      <c r="L50" s="70">
        <v>1</v>
      </c>
      <c r="M50" s="41">
        <v>0</v>
      </c>
      <c r="N50" s="15">
        <f t="shared" si="1"/>
        <v>158</v>
      </c>
      <c r="O50" s="15">
        <f t="shared" si="2"/>
        <v>4.7300000000000004</v>
      </c>
      <c r="P50" s="15">
        <f>IF(G50,INDEX(monster!$J$2:$J$606,MATCH(skill!C50,monster!$A$2:$A$606,0)),Q50)</f>
        <v>1.2</v>
      </c>
      <c r="Q50" s="70"/>
      <c r="R50" s="33">
        <v>120</v>
      </c>
    </row>
    <row r="51" spans="1:18" s="38" customFormat="1" x14ac:dyDescent="0.15">
      <c r="A51" s="32">
        <v>10050</v>
      </c>
      <c r="B51" s="32" t="s">
        <v>614</v>
      </c>
      <c r="C51" s="32">
        <v>1006</v>
      </c>
      <c r="D51" s="32">
        <v>5</v>
      </c>
      <c r="E51" s="15">
        <f>INDEX(monster!$H$2:$H$617,MATCH(skill!C51,monster!$A$2:$A$617,0))</f>
        <v>136.19</v>
      </c>
      <c r="F51" s="15">
        <f>INDEX(monster!$I$2:$I$617,MATCH(C51,monster!$A$2:$A$617,0))</f>
        <v>4.09</v>
      </c>
      <c r="G51" s="15" t="b">
        <f t="shared" si="0"/>
        <v>1</v>
      </c>
      <c r="H51" s="32">
        <v>1</v>
      </c>
      <c r="I51" s="15">
        <f>IF(H51&gt;0,HLOOKUP(R51/100,数值规划表!$B$37:$AA$39,3),1)</f>
        <v>1.296</v>
      </c>
      <c r="J51" s="31" t="s">
        <v>1625</v>
      </c>
      <c r="K51" s="15">
        <f>INDEX(数值规划表!$B$15:$B$18,MATCH(J51,攻击范围,0))</f>
        <v>1</v>
      </c>
      <c r="L51" s="70">
        <v>1</v>
      </c>
      <c r="M51" s="41">
        <v>0</v>
      </c>
      <c r="N51" s="15">
        <f t="shared" si="1"/>
        <v>177</v>
      </c>
      <c r="O51" s="15">
        <f t="shared" si="2"/>
        <v>5.3</v>
      </c>
      <c r="P51" s="15">
        <f>IF(G51,INDEX(monster!$J$2:$J$606,MATCH(skill!C51,monster!$A$2:$A$606,0)),Q51)</f>
        <v>1.2</v>
      </c>
      <c r="Q51" s="70"/>
      <c r="R51" s="33">
        <v>120</v>
      </c>
    </row>
    <row r="52" spans="1:18" s="38" customFormat="1" x14ac:dyDescent="0.15">
      <c r="A52" s="32">
        <v>10051</v>
      </c>
      <c r="B52" s="32" t="s">
        <v>615</v>
      </c>
      <c r="C52" s="32">
        <v>1007</v>
      </c>
      <c r="D52" s="32">
        <v>6</v>
      </c>
      <c r="E52" s="15">
        <f>INDEX(monster!$H$2:$H$617,MATCH(skill!C52,monster!$A$2:$A$617,0))</f>
        <v>152.54</v>
      </c>
      <c r="F52" s="15">
        <f>INDEX(monster!$I$2:$I$617,MATCH(C52,monster!$A$2:$A$617,0))</f>
        <v>4.58</v>
      </c>
      <c r="G52" s="15" t="b">
        <f t="shared" si="0"/>
        <v>1</v>
      </c>
      <c r="H52" s="32">
        <v>1</v>
      </c>
      <c r="I52" s="15">
        <f>IF(H52&gt;0,HLOOKUP(R52/100,数值规划表!$B$37:$AA$39,3),1)</f>
        <v>1.296</v>
      </c>
      <c r="J52" s="31" t="s">
        <v>1625</v>
      </c>
      <c r="K52" s="15">
        <f>INDEX(数值规划表!$B$15:$B$18,MATCH(J52,攻击范围,0))</f>
        <v>1</v>
      </c>
      <c r="L52" s="70">
        <v>1</v>
      </c>
      <c r="M52" s="41">
        <v>0</v>
      </c>
      <c r="N52" s="15">
        <f t="shared" si="1"/>
        <v>198</v>
      </c>
      <c r="O52" s="15">
        <f t="shared" si="2"/>
        <v>5.94</v>
      </c>
      <c r="P52" s="15">
        <f>IF(G52,INDEX(monster!$J$2:$J$606,MATCH(skill!C52,monster!$A$2:$A$606,0)),Q52)</f>
        <v>1.2</v>
      </c>
      <c r="Q52" s="70"/>
      <c r="R52" s="33">
        <v>120</v>
      </c>
    </row>
    <row r="53" spans="1:18" s="38" customFormat="1" x14ac:dyDescent="0.15">
      <c r="A53" s="32">
        <v>10052</v>
      </c>
      <c r="B53" s="32" t="s">
        <v>616</v>
      </c>
      <c r="C53" s="32">
        <v>1008</v>
      </c>
      <c r="D53" s="32">
        <v>7</v>
      </c>
      <c r="E53" s="15">
        <f>INDEX(monster!$H$2:$H$617,MATCH(skill!C53,monster!$A$2:$A$617,0))</f>
        <v>170.84</v>
      </c>
      <c r="F53" s="15">
        <f>INDEX(monster!$I$2:$I$617,MATCH(C53,monster!$A$2:$A$617,0))</f>
        <v>5.13</v>
      </c>
      <c r="G53" s="15" t="b">
        <f t="shared" si="0"/>
        <v>1</v>
      </c>
      <c r="H53" s="32">
        <v>1</v>
      </c>
      <c r="I53" s="15">
        <f>IF(H53&gt;0,HLOOKUP(R53/100,数值规划表!$B$37:$AA$39,3),1)</f>
        <v>1.296</v>
      </c>
      <c r="J53" s="31" t="s">
        <v>1625</v>
      </c>
      <c r="K53" s="15">
        <f>INDEX(数值规划表!$B$15:$B$18,MATCH(J53,攻击范围,0))</f>
        <v>1</v>
      </c>
      <c r="L53" s="70">
        <v>1</v>
      </c>
      <c r="M53" s="41">
        <v>0</v>
      </c>
      <c r="N53" s="15">
        <f t="shared" si="1"/>
        <v>221</v>
      </c>
      <c r="O53" s="15">
        <f t="shared" si="2"/>
        <v>6.65</v>
      </c>
      <c r="P53" s="15">
        <f>IF(G53,INDEX(monster!$J$2:$J$606,MATCH(skill!C53,monster!$A$2:$A$606,0)),Q53)</f>
        <v>1.2</v>
      </c>
      <c r="Q53" s="70"/>
      <c r="R53" s="33">
        <v>120</v>
      </c>
    </row>
    <row r="54" spans="1:18" s="38" customFormat="1" x14ac:dyDescent="0.15">
      <c r="A54" s="32">
        <v>10053</v>
      </c>
      <c r="B54" s="32" t="s">
        <v>617</v>
      </c>
      <c r="C54" s="32">
        <v>1009</v>
      </c>
      <c r="D54" s="32">
        <v>8</v>
      </c>
      <c r="E54" s="15">
        <f>INDEX(monster!$H$2:$H$617,MATCH(skill!C54,monster!$A$2:$A$617,0))</f>
        <v>191.34</v>
      </c>
      <c r="F54" s="15">
        <f>INDEX(monster!$I$2:$I$617,MATCH(C54,monster!$A$2:$A$617,0))</f>
        <v>5.74</v>
      </c>
      <c r="G54" s="15" t="b">
        <f t="shared" si="0"/>
        <v>1</v>
      </c>
      <c r="H54" s="32">
        <v>1</v>
      </c>
      <c r="I54" s="15">
        <f>IF(H54&gt;0,HLOOKUP(R54/100,数值规划表!$B$37:$AA$39,3),1)</f>
        <v>1.296</v>
      </c>
      <c r="J54" s="31" t="s">
        <v>1625</v>
      </c>
      <c r="K54" s="15">
        <f>INDEX(数值规划表!$B$15:$B$18,MATCH(J54,攻击范围,0))</f>
        <v>1</v>
      </c>
      <c r="L54" s="70">
        <v>1</v>
      </c>
      <c r="M54" s="41">
        <v>0</v>
      </c>
      <c r="N54" s="15">
        <f t="shared" si="1"/>
        <v>248</v>
      </c>
      <c r="O54" s="15">
        <f t="shared" si="2"/>
        <v>7.44</v>
      </c>
      <c r="P54" s="15">
        <f>IF(G54,INDEX(monster!$J$2:$J$606,MATCH(skill!C54,monster!$A$2:$A$606,0)),Q54)</f>
        <v>1.2</v>
      </c>
      <c r="Q54" s="70"/>
      <c r="R54" s="33">
        <v>120</v>
      </c>
    </row>
    <row r="55" spans="1:18" s="38" customFormat="1" x14ac:dyDescent="0.15">
      <c r="A55" s="32">
        <v>10054</v>
      </c>
      <c r="B55" s="32" t="s">
        <v>618</v>
      </c>
      <c r="C55" s="32">
        <v>1010</v>
      </c>
      <c r="D55" s="32">
        <v>9</v>
      </c>
      <c r="E55" s="15">
        <f>INDEX(monster!$H$2:$H$617,MATCH(skill!C55,monster!$A$2:$A$617,0))</f>
        <v>214.3</v>
      </c>
      <c r="F55" s="15">
        <f>INDEX(monster!$I$2:$I$617,MATCH(C55,monster!$A$2:$A$617,0))</f>
        <v>6.43</v>
      </c>
      <c r="G55" s="15" t="b">
        <f t="shared" si="0"/>
        <v>1</v>
      </c>
      <c r="H55" s="32">
        <v>1</v>
      </c>
      <c r="I55" s="15">
        <f>IF(H55&gt;0,HLOOKUP(R55/100,数值规划表!$B$37:$AA$39,3),1)</f>
        <v>1.296</v>
      </c>
      <c r="J55" s="31" t="s">
        <v>1625</v>
      </c>
      <c r="K55" s="15">
        <f>INDEX(数值规划表!$B$15:$B$18,MATCH(J55,攻击范围,0))</f>
        <v>1</v>
      </c>
      <c r="L55" s="70">
        <v>1</v>
      </c>
      <c r="M55" s="41">
        <v>0</v>
      </c>
      <c r="N55" s="15">
        <f t="shared" si="1"/>
        <v>278</v>
      </c>
      <c r="O55" s="15">
        <f t="shared" si="2"/>
        <v>8.33</v>
      </c>
      <c r="P55" s="15">
        <f>IF(G55,INDEX(monster!$J$2:$J$606,MATCH(skill!C55,monster!$A$2:$A$606,0)),Q55)</f>
        <v>1.2</v>
      </c>
      <c r="Q55" s="70"/>
      <c r="R55" s="33">
        <v>120</v>
      </c>
    </row>
    <row r="56" spans="1:18" s="38" customFormat="1" x14ac:dyDescent="0.15">
      <c r="A56" s="32">
        <v>10055</v>
      </c>
      <c r="B56" s="32" t="s">
        <v>619</v>
      </c>
      <c r="C56" s="32">
        <v>1011</v>
      </c>
      <c r="D56" s="32">
        <v>10</v>
      </c>
      <c r="E56" s="15">
        <f>INDEX(monster!$H$2:$H$617,MATCH(skill!C56,monster!$A$2:$A$617,0))</f>
        <v>240.02</v>
      </c>
      <c r="F56" s="15">
        <f>INDEX(monster!$I$2:$I$617,MATCH(C56,monster!$A$2:$A$617,0))</f>
        <v>7.2</v>
      </c>
      <c r="G56" s="15" t="b">
        <f t="shared" si="0"/>
        <v>1</v>
      </c>
      <c r="H56" s="32">
        <v>1</v>
      </c>
      <c r="I56" s="15">
        <f>IF(H56&gt;0,HLOOKUP(R56/100,数值规划表!$B$37:$AA$39,3),1)</f>
        <v>1.296</v>
      </c>
      <c r="J56" s="31" t="s">
        <v>1625</v>
      </c>
      <c r="K56" s="15">
        <f>INDEX(数值规划表!$B$15:$B$18,MATCH(J56,攻击范围,0))</f>
        <v>1</v>
      </c>
      <c r="L56" s="70">
        <v>1</v>
      </c>
      <c r="M56" s="41">
        <v>0</v>
      </c>
      <c r="N56" s="15">
        <f t="shared" si="1"/>
        <v>311</v>
      </c>
      <c r="O56" s="15">
        <f t="shared" si="2"/>
        <v>9.33</v>
      </c>
      <c r="P56" s="15">
        <f>IF(G56,INDEX(monster!$J$2:$J$606,MATCH(skill!C56,monster!$A$2:$A$606,0)),Q56)</f>
        <v>1.2</v>
      </c>
      <c r="Q56" s="70"/>
      <c r="R56" s="33">
        <v>120</v>
      </c>
    </row>
    <row r="57" spans="1:18" s="38" customFormat="1" x14ac:dyDescent="0.15">
      <c r="A57" s="32">
        <v>10056</v>
      </c>
      <c r="B57" s="32" t="s">
        <v>2788</v>
      </c>
      <c r="C57" s="31">
        <v>1012</v>
      </c>
      <c r="D57" s="32">
        <v>0</v>
      </c>
      <c r="E57" s="15">
        <f>INDEX(monster!$H$2:$H$617,MATCH(skill!C57,monster!$A$2:$A$617,0))</f>
        <v>27.14</v>
      </c>
      <c r="F57" s="15">
        <f>INDEX(monster!$I$2:$I$617,MATCH(C57,monster!$A$2:$A$617,0))</f>
        <v>0.81</v>
      </c>
      <c r="G57" s="15" t="b">
        <f t="shared" si="0"/>
        <v>1</v>
      </c>
      <c r="H57" s="32">
        <v>1</v>
      </c>
      <c r="I57" s="15">
        <f>IF(H57&gt;0,HLOOKUP(R57/100,数值规划表!$B$37:$AA$39,3),1)</f>
        <v>1.7999999999999998</v>
      </c>
      <c r="J57" s="31" t="s">
        <v>1625</v>
      </c>
      <c r="K57" s="15">
        <f>INDEX(数值规划表!$B$15:$B$18,MATCH(J57,攻击范围,0))</f>
        <v>1</v>
      </c>
      <c r="L57" s="30">
        <v>1</v>
      </c>
      <c r="M57" s="41">
        <v>0</v>
      </c>
      <c r="N57" s="15">
        <f t="shared" si="1"/>
        <v>49</v>
      </c>
      <c r="O57" s="15">
        <f t="shared" si="2"/>
        <v>1.46</v>
      </c>
      <c r="P57" s="15">
        <f>IF(G57,INDEX(monster!$J$2:$J$606,MATCH(skill!C57,monster!$A$2:$A$606,0)),Q57)</f>
        <v>4</v>
      </c>
      <c r="Q57" s="70"/>
      <c r="R57" s="33">
        <v>150</v>
      </c>
    </row>
    <row r="58" spans="1:18" s="38" customFormat="1" x14ac:dyDescent="0.15">
      <c r="A58" s="32">
        <v>10057</v>
      </c>
      <c r="B58" s="32" t="s">
        <v>2789</v>
      </c>
      <c r="C58" s="31">
        <v>1013</v>
      </c>
      <c r="D58" s="32">
        <v>1</v>
      </c>
      <c r="E58" s="15">
        <f>INDEX(monster!$H$2:$H$617,MATCH(skill!C58,monster!$A$2:$A$617,0))</f>
        <v>30.4</v>
      </c>
      <c r="F58" s="15">
        <f>INDEX(monster!$I$2:$I$617,MATCH(C58,monster!$A$2:$A$617,0))</f>
        <v>0.91</v>
      </c>
      <c r="G58" s="15" t="b">
        <f t="shared" si="0"/>
        <v>1</v>
      </c>
      <c r="H58" s="32">
        <v>1</v>
      </c>
      <c r="I58" s="15">
        <f>IF(H58&gt;0,HLOOKUP(R58/100,数值规划表!$B$37:$AA$39,3),1)</f>
        <v>1.7999999999999998</v>
      </c>
      <c r="J58" s="31" t="s">
        <v>1625</v>
      </c>
      <c r="K58" s="15">
        <f>INDEX(数值规划表!$B$15:$B$18,MATCH(J58,攻击范围,0))</f>
        <v>1</v>
      </c>
      <c r="L58" s="41">
        <v>1</v>
      </c>
      <c r="M58" s="41">
        <v>0</v>
      </c>
      <c r="N58" s="15">
        <f t="shared" si="1"/>
        <v>55</v>
      </c>
      <c r="O58" s="15">
        <f t="shared" si="2"/>
        <v>1.64</v>
      </c>
      <c r="P58" s="15">
        <f>IF(G58,INDEX(monster!$J$2:$J$606,MATCH(skill!C58,monster!$A$2:$A$606,0)),Q58)</f>
        <v>4</v>
      </c>
      <c r="Q58" s="70"/>
      <c r="R58" s="33">
        <v>150</v>
      </c>
    </row>
    <row r="59" spans="1:18" s="38" customFormat="1" x14ac:dyDescent="0.15">
      <c r="A59" s="32">
        <v>10058</v>
      </c>
      <c r="B59" s="32" t="s">
        <v>2790</v>
      </c>
      <c r="C59" s="31">
        <v>1014</v>
      </c>
      <c r="D59" s="32">
        <v>2</v>
      </c>
      <c r="E59" s="15">
        <f>INDEX(monster!$H$2:$H$617,MATCH(skill!C59,monster!$A$2:$A$617,0))</f>
        <v>34.04</v>
      </c>
      <c r="F59" s="15">
        <f>INDEX(monster!$I$2:$I$617,MATCH(C59,monster!$A$2:$A$617,0))</f>
        <v>1.02</v>
      </c>
      <c r="G59" s="15" t="b">
        <f t="shared" si="0"/>
        <v>1</v>
      </c>
      <c r="H59" s="32">
        <v>1</v>
      </c>
      <c r="I59" s="15">
        <f>IF(H59&gt;0,HLOOKUP(R59/100,数值规划表!$B$37:$AA$39,3),1)</f>
        <v>1.7999999999999998</v>
      </c>
      <c r="J59" s="31" t="s">
        <v>1625</v>
      </c>
      <c r="K59" s="15">
        <f>INDEX(数值规划表!$B$15:$B$18,MATCH(J59,攻击范围,0))</f>
        <v>1</v>
      </c>
      <c r="L59" s="41">
        <v>1</v>
      </c>
      <c r="M59" s="41">
        <v>0</v>
      </c>
      <c r="N59" s="15">
        <f t="shared" si="1"/>
        <v>61</v>
      </c>
      <c r="O59" s="15">
        <f t="shared" si="2"/>
        <v>1.84</v>
      </c>
      <c r="P59" s="15">
        <f>IF(G59,INDEX(monster!$J$2:$J$606,MATCH(skill!C59,monster!$A$2:$A$606,0)),Q59)</f>
        <v>4</v>
      </c>
      <c r="Q59" s="70"/>
      <c r="R59" s="33">
        <v>150</v>
      </c>
    </row>
    <row r="60" spans="1:18" s="38" customFormat="1" x14ac:dyDescent="0.15">
      <c r="A60" s="32">
        <v>10059</v>
      </c>
      <c r="B60" s="32" t="s">
        <v>620</v>
      </c>
      <c r="C60" s="31">
        <v>1015</v>
      </c>
      <c r="D60" s="32">
        <v>3</v>
      </c>
      <c r="E60" s="15">
        <f>INDEX(monster!$H$2:$H$617,MATCH(skill!C60,monster!$A$2:$A$617,0))</f>
        <v>38.130000000000003</v>
      </c>
      <c r="F60" s="15">
        <f>INDEX(monster!$I$2:$I$617,MATCH(C60,monster!$A$2:$A$617,0))</f>
        <v>1.1399999999999999</v>
      </c>
      <c r="G60" s="15" t="b">
        <f t="shared" si="0"/>
        <v>1</v>
      </c>
      <c r="H60" s="32">
        <v>1</v>
      </c>
      <c r="I60" s="15">
        <f>IF(H60&gt;0,HLOOKUP(R60/100,数值规划表!$B$37:$AA$39,3),1)</f>
        <v>1.7999999999999998</v>
      </c>
      <c r="J60" s="31" t="s">
        <v>1625</v>
      </c>
      <c r="K60" s="15">
        <f>INDEX(数值规划表!$B$15:$B$18,MATCH(J60,攻击范围,0))</f>
        <v>1</v>
      </c>
      <c r="L60" s="41">
        <v>1</v>
      </c>
      <c r="M60" s="41">
        <v>0</v>
      </c>
      <c r="N60" s="15">
        <f t="shared" si="1"/>
        <v>69</v>
      </c>
      <c r="O60" s="15">
        <f t="shared" si="2"/>
        <v>2.0499999999999998</v>
      </c>
      <c r="P60" s="15">
        <f>IF(G60,INDEX(monster!$J$2:$J$606,MATCH(skill!C60,monster!$A$2:$A$606,0)),Q60)</f>
        <v>4</v>
      </c>
      <c r="Q60" s="70"/>
      <c r="R60" s="33">
        <v>150</v>
      </c>
    </row>
    <row r="61" spans="1:18" s="38" customFormat="1" x14ac:dyDescent="0.15">
      <c r="A61" s="32">
        <v>10060</v>
      </c>
      <c r="B61" s="32" t="s">
        <v>621</v>
      </c>
      <c r="C61" s="31">
        <v>1016</v>
      </c>
      <c r="D61" s="32">
        <v>4</v>
      </c>
      <c r="E61" s="15">
        <f>INDEX(monster!$H$2:$H$617,MATCH(skill!C61,monster!$A$2:$A$617,0))</f>
        <v>42.71</v>
      </c>
      <c r="F61" s="15">
        <f>INDEX(monster!$I$2:$I$617,MATCH(C61,monster!$A$2:$A$617,0))</f>
        <v>1.28</v>
      </c>
      <c r="G61" s="15" t="b">
        <f t="shared" si="0"/>
        <v>1</v>
      </c>
      <c r="H61" s="32">
        <v>1</v>
      </c>
      <c r="I61" s="15">
        <f>IF(H61&gt;0,HLOOKUP(R61/100,数值规划表!$B$37:$AA$39,3),1)</f>
        <v>1.7999999999999998</v>
      </c>
      <c r="J61" s="31" t="s">
        <v>1625</v>
      </c>
      <c r="K61" s="15">
        <f>INDEX(数值规划表!$B$15:$B$18,MATCH(J61,攻击范围,0))</f>
        <v>1</v>
      </c>
      <c r="L61" s="41">
        <v>1</v>
      </c>
      <c r="M61" s="41">
        <v>0</v>
      </c>
      <c r="N61" s="15">
        <f t="shared" si="1"/>
        <v>77</v>
      </c>
      <c r="O61" s="15">
        <f t="shared" si="2"/>
        <v>2.2999999999999998</v>
      </c>
      <c r="P61" s="15">
        <f>IF(G61,INDEX(monster!$J$2:$J$606,MATCH(skill!C61,monster!$A$2:$A$606,0)),Q61)</f>
        <v>4</v>
      </c>
      <c r="Q61" s="70"/>
      <c r="R61" s="33">
        <v>150</v>
      </c>
    </row>
    <row r="62" spans="1:18" s="38" customFormat="1" x14ac:dyDescent="0.15">
      <c r="A62" s="32">
        <v>10061</v>
      </c>
      <c r="B62" s="32" t="s">
        <v>622</v>
      </c>
      <c r="C62" s="31">
        <v>1017</v>
      </c>
      <c r="D62" s="32">
        <v>5</v>
      </c>
      <c r="E62" s="15">
        <f>INDEX(monster!$H$2:$H$617,MATCH(skill!C62,monster!$A$2:$A$617,0))</f>
        <v>47.83</v>
      </c>
      <c r="F62" s="15">
        <f>INDEX(monster!$I$2:$I$617,MATCH(C62,monster!$A$2:$A$617,0))</f>
        <v>1.43</v>
      </c>
      <c r="G62" s="15" t="b">
        <f t="shared" si="0"/>
        <v>1</v>
      </c>
      <c r="H62" s="32">
        <v>1</v>
      </c>
      <c r="I62" s="15">
        <f>IF(H62&gt;0,HLOOKUP(R62/100,数值规划表!$B$37:$AA$39,3),1)</f>
        <v>1.7999999999999998</v>
      </c>
      <c r="J62" s="31" t="s">
        <v>1625</v>
      </c>
      <c r="K62" s="15">
        <f>INDEX(数值规划表!$B$15:$B$18,MATCH(J62,攻击范围,0))</f>
        <v>1</v>
      </c>
      <c r="L62" s="41">
        <v>1</v>
      </c>
      <c r="M62" s="41">
        <v>0</v>
      </c>
      <c r="N62" s="15">
        <f t="shared" si="1"/>
        <v>86</v>
      </c>
      <c r="O62" s="15">
        <f t="shared" si="2"/>
        <v>2.57</v>
      </c>
      <c r="P62" s="15">
        <f>IF(G62,INDEX(monster!$J$2:$J$606,MATCH(skill!C62,monster!$A$2:$A$606,0)),Q62)</f>
        <v>4</v>
      </c>
      <c r="Q62" s="70"/>
      <c r="R62" s="33">
        <v>150</v>
      </c>
    </row>
    <row r="63" spans="1:18" s="38" customFormat="1" x14ac:dyDescent="0.15">
      <c r="A63" s="32">
        <v>10062</v>
      </c>
      <c r="B63" s="32" t="s">
        <v>623</v>
      </c>
      <c r="C63" s="31">
        <v>1018</v>
      </c>
      <c r="D63" s="32">
        <v>6</v>
      </c>
      <c r="E63" s="15">
        <f>INDEX(monster!$H$2:$H$617,MATCH(skill!C63,monster!$A$2:$A$617,0))</f>
        <v>53.57</v>
      </c>
      <c r="F63" s="15">
        <f>INDEX(monster!$I$2:$I$617,MATCH(C63,monster!$A$2:$A$617,0))</f>
        <v>1.61</v>
      </c>
      <c r="G63" s="15" t="b">
        <f t="shared" si="0"/>
        <v>1</v>
      </c>
      <c r="H63" s="32">
        <v>1</v>
      </c>
      <c r="I63" s="15">
        <f>IF(H63&gt;0,HLOOKUP(R63/100,数值规划表!$B$37:$AA$39,3),1)</f>
        <v>1.7999999999999998</v>
      </c>
      <c r="J63" s="31" t="s">
        <v>1625</v>
      </c>
      <c r="K63" s="15">
        <f>INDEX(数值规划表!$B$15:$B$18,MATCH(J63,攻击范围,0))</f>
        <v>1</v>
      </c>
      <c r="L63" s="41">
        <v>1</v>
      </c>
      <c r="M63" s="41">
        <v>0</v>
      </c>
      <c r="N63" s="15">
        <f t="shared" si="1"/>
        <v>96</v>
      </c>
      <c r="O63" s="15">
        <f t="shared" si="2"/>
        <v>2.9</v>
      </c>
      <c r="P63" s="15">
        <f>IF(G63,INDEX(monster!$J$2:$J$606,MATCH(skill!C63,monster!$A$2:$A$606,0)),Q63)</f>
        <v>4</v>
      </c>
      <c r="Q63" s="70"/>
      <c r="R63" s="33">
        <v>150</v>
      </c>
    </row>
    <row r="64" spans="1:18" s="38" customFormat="1" x14ac:dyDescent="0.15">
      <c r="A64" s="32">
        <v>10063</v>
      </c>
      <c r="B64" s="32" t="s">
        <v>624</v>
      </c>
      <c r="C64" s="31">
        <v>1019</v>
      </c>
      <c r="D64" s="32">
        <v>7</v>
      </c>
      <c r="E64" s="15">
        <f>INDEX(monster!$H$2:$H$617,MATCH(skill!C64,monster!$A$2:$A$617,0))</f>
        <v>60</v>
      </c>
      <c r="F64" s="15">
        <f>INDEX(monster!$I$2:$I$617,MATCH(C64,monster!$A$2:$A$617,0))</f>
        <v>1.8</v>
      </c>
      <c r="G64" s="15" t="b">
        <f t="shared" si="0"/>
        <v>1</v>
      </c>
      <c r="H64" s="32">
        <v>1</v>
      </c>
      <c r="I64" s="15">
        <f>IF(H64&gt;0,HLOOKUP(R64/100,数值规划表!$B$37:$AA$39,3),1)</f>
        <v>1.7999999999999998</v>
      </c>
      <c r="J64" s="31" t="s">
        <v>1625</v>
      </c>
      <c r="K64" s="15">
        <f>INDEX(数值规划表!$B$15:$B$18,MATCH(J64,攻击范围,0))</f>
        <v>1</v>
      </c>
      <c r="L64" s="41">
        <v>1</v>
      </c>
      <c r="M64" s="41">
        <v>0</v>
      </c>
      <c r="N64" s="15">
        <f t="shared" si="1"/>
        <v>108</v>
      </c>
      <c r="O64" s="15">
        <f t="shared" si="2"/>
        <v>3.24</v>
      </c>
      <c r="P64" s="15">
        <f>IF(G64,INDEX(monster!$J$2:$J$606,MATCH(skill!C64,monster!$A$2:$A$606,0)),Q64)</f>
        <v>4</v>
      </c>
      <c r="Q64" s="70"/>
      <c r="R64" s="33">
        <v>150</v>
      </c>
    </row>
    <row r="65" spans="1:18" s="38" customFormat="1" x14ac:dyDescent="0.15">
      <c r="A65" s="32">
        <v>10064</v>
      </c>
      <c r="B65" s="32" t="s">
        <v>625</v>
      </c>
      <c r="C65" s="31">
        <v>1020</v>
      </c>
      <c r="D65" s="32">
        <v>8</v>
      </c>
      <c r="E65" s="15">
        <f>INDEX(monster!$H$2:$H$617,MATCH(skill!C65,monster!$A$2:$A$617,0))</f>
        <v>67.2</v>
      </c>
      <c r="F65" s="15">
        <f>INDEX(monster!$I$2:$I$617,MATCH(C65,monster!$A$2:$A$617,0))</f>
        <v>2.02</v>
      </c>
      <c r="G65" s="15" t="b">
        <f t="shared" si="0"/>
        <v>1</v>
      </c>
      <c r="H65" s="32">
        <v>1</v>
      </c>
      <c r="I65" s="15">
        <f>IF(H65&gt;0,HLOOKUP(R65/100,数值规划表!$B$37:$AA$39,3),1)</f>
        <v>1.7999999999999998</v>
      </c>
      <c r="J65" s="31" t="s">
        <v>1625</v>
      </c>
      <c r="K65" s="15">
        <f>INDEX(数值规划表!$B$15:$B$18,MATCH(J65,攻击范围,0))</f>
        <v>1</v>
      </c>
      <c r="L65" s="41">
        <v>1</v>
      </c>
      <c r="M65" s="41">
        <v>0</v>
      </c>
      <c r="N65" s="15">
        <f t="shared" si="1"/>
        <v>121</v>
      </c>
      <c r="O65" s="15">
        <f t="shared" si="2"/>
        <v>3.64</v>
      </c>
      <c r="P65" s="15">
        <f>IF(G65,INDEX(monster!$J$2:$J$606,MATCH(skill!C65,monster!$A$2:$A$606,0)),Q65)</f>
        <v>4</v>
      </c>
      <c r="Q65" s="70"/>
      <c r="R65" s="33">
        <v>150</v>
      </c>
    </row>
    <row r="66" spans="1:18" s="38" customFormat="1" x14ac:dyDescent="0.15">
      <c r="A66" s="32">
        <v>10065</v>
      </c>
      <c r="B66" s="32" t="s">
        <v>626</v>
      </c>
      <c r="C66" s="31">
        <v>1021</v>
      </c>
      <c r="D66" s="32">
        <v>9</v>
      </c>
      <c r="E66" s="15">
        <f>INDEX(monster!$H$2:$H$617,MATCH(skill!C66,monster!$A$2:$A$617,0))</f>
        <v>75.260000000000005</v>
      </c>
      <c r="F66" s="15">
        <f>INDEX(monster!$I$2:$I$617,MATCH(C66,monster!$A$2:$A$617,0))</f>
        <v>2.2599999999999998</v>
      </c>
      <c r="G66" s="15" t="b">
        <f t="shared" ref="G66:G140" si="3">ISNUMBER(FIND("普攻",B66))</f>
        <v>1</v>
      </c>
      <c r="H66" s="32">
        <v>1</v>
      </c>
      <c r="I66" s="15">
        <f>IF(H66&gt;0,HLOOKUP(R66/100,数值规划表!$B$37:$AA$39,3),1)</f>
        <v>1.7999999999999998</v>
      </c>
      <c r="J66" s="31" t="s">
        <v>1625</v>
      </c>
      <c r="K66" s="15">
        <f>INDEX(数值规划表!$B$15:$B$18,MATCH(J66,攻击范围,0))</f>
        <v>1</v>
      </c>
      <c r="L66" s="41">
        <v>1</v>
      </c>
      <c r="M66" s="41">
        <v>0</v>
      </c>
      <c r="N66" s="15">
        <f t="shared" ref="N66:N129" si="4">ROUND(E66*I66*K66*L66,0)</f>
        <v>135</v>
      </c>
      <c r="O66" s="15">
        <f t="shared" ref="O66:O129" si="5">ROUND(F66*I66*K66*L66,2)</f>
        <v>4.07</v>
      </c>
      <c r="P66" s="15">
        <f>IF(G66,INDEX(monster!$J$2:$J$606,MATCH(skill!C66,monster!$A$2:$A$606,0)),Q66)</f>
        <v>4</v>
      </c>
      <c r="Q66" s="70"/>
      <c r="R66" s="33">
        <v>150</v>
      </c>
    </row>
    <row r="67" spans="1:18" s="38" customFormat="1" x14ac:dyDescent="0.15">
      <c r="A67" s="32">
        <v>10066</v>
      </c>
      <c r="B67" s="32" t="s">
        <v>627</v>
      </c>
      <c r="C67" s="31">
        <v>1022</v>
      </c>
      <c r="D67" s="32">
        <v>10</v>
      </c>
      <c r="E67" s="15">
        <f>INDEX(monster!$H$2:$H$617,MATCH(skill!C67,monster!$A$2:$A$617,0))</f>
        <v>84.29</v>
      </c>
      <c r="F67" s="15">
        <f>INDEX(monster!$I$2:$I$617,MATCH(C67,monster!$A$2:$A$617,0))</f>
        <v>2.5299999999999998</v>
      </c>
      <c r="G67" s="15" t="b">
        <f t="shared" si="3"/>
        <v>1</v>
      </c>
      <c r="H67" s="32">
        <v>1</v>
      </c>
      <c r="I67" s="15">
        <f>IF(H67&gt;0,HLOOKUP(R67/100,数值规划表!$B$37:$AA$39,3),1)</f>
        <v>1.7999999999999998</v>
      </c>
      <c r="J67" s="31" t="s">
        <v>1625</v>
      </c>
      <c r="K67" s="15">
        <f>INDEX(数值规划表!$B$15:$B$18,MATCH(J67,攻击范围,0))</f>
        <v>1</v>
      </c>
      <c r="L67" s="41">
        <v>1</v>
      </c>
      <c r="M67" s="41">
        <v>0</v>
      </c>
      <c r="N67" s="15">
        <f t="shared" si="4"/>
        <v>152</v>
      </c>
      <c r="O67" s="15">
        <f t="shared" si="5"/>
        <v>4.55</v>
      </c>
      <c r="P67" s="15">
        <f>IF(G67,INDEX(monster!$J$2:$J$606,MATCH(skill!C67,monster!$A$2:$A$606,0)),Q67)</f>
        <v>4</v>
      </c>
      <c r="Q67" s="70"/>
      <c r="R67" s="33">
        <v>150</v>
      </c>
    </row>
    <row r="68" spans="1:18" s="38" customFormat="1" x14ac:dyDescent="0.15">
      <c r="A68" s="32">
        <v>10067</v>
      </c>
      <c r="B68" s="32" t="s">
        <v>611</v>
      </c>
      <c r="C68" s="32">
        <v>1023</v>
      </c>
      <c r="D68" s="32">
        <v>0</v>
      </c>
      <c r="E68" s="15">
        <f>INDEX(monster!$H$2:$H$617,MATCH(skill!C68,monster!$A$2:$A$617,0))</f>
        <v>47.24</v>
      </c>
      <c r="F68" s="15">
        <f>INDEX(monster!$I$2:$I$617,MATCH(C68,monster!$A$2:$A$617,0))</f>
        <v>1.42</v>
      </c>
      <c r="G68" s="15" t="b">
        <f t="shared" si="3"/>
        <v>1</v>
      </c>
      <c r="H68" s="32">
        <v>1</v>
      </c>
      <c r="I68" s="15">
        <f>IF(H68&gt;0,HLOOKUP(R68/100,数值规划表!$B$37:$AA$39,3),1)</f>
        <v>1.7999999999999998</v>
      </c>
      <c r="J68" s="31" t="s">
        <v>1625</v>
      </c>
      <c r="K68" s="15">
        <f>INDEX(数值规划表!$B$15:$B$18,MATCH(J68,攻击范围,0))</f>
        <v>1</v>
      </c>
      <c r="L68" s="30">
        <f>1/M68*1.75</f>
        <v>0.25</v>
      </c>
      <c r="M68" s="41">
        <v>7</v>
      </c>
      <c r="N68" s="15">
        <f t="shared" si="4"/>
        <v>21</v>
      </c>
      <c r="O68" s="15">
        <f t="shared" si="5"/>
        <v>0.64</v>
      </c>
      <c r="P68" s="12">
        <v>4.5</v>
      </c>
      <c r="Q68" s="70"/>
      <c r="R68" s="52">
        <v>150</v>
      </c>
    </row>
    <row r="69" spans="1:18" s="38" customFormat="1" x14ac:dyDescent="0.15">
      <c r="A69" s="32">
        <v>10068</v>
      </c>
      <c r="B69" s="32" t="s">
        <v>628</v>
      </c>
      <c r="C69" s="32">
        <v>1024</v>
      </c>
      <c r="D69" s="32">
        <v>1</v>
      </c>
      <c r="E69" s="15">
        <f>INDEX(monster!$H$2:$H$617,MATCH(skill!C69,monster!$A$2:$A$617,0))</f>
        <v>52.91</v>
      </c>
      <c r="F69" s="15">
        <f>INDEX(monster!$I$2:$I$617,MATCH(C69,monster!$A$2:$A$617,0))</f>
        <v>1.59</v>
      </c>
      <c r="G69" s="15" t="b">
        <f t="shared" si="3"/>
        <v>1</v>
      </c>
      <c r="H69" s="32">
        <v>1</v>
      </c>
      <c r="I69" s="15">
        <f>IF(H69&gt;0,HLOOKUP(R69/100,数值规划表!$B$37:$AA$39,3),1)</f>
        <v>1.7999999999999998</v>
      </c>
      <c r="J69" s="31" t="s">
        <v>1625</v>
      </c>
      <c r="K69" s="15">
        <f>INDEX(数值规划表!$B$15:$B$18,MATCH(J69,攻击范围,0))</f>
        <v>1</v>
      </c>
      <c r="L69" s="70">
        <f t="shared" ref="L69:L89" si="6">1/M69*1.75</f>
        <v>0.25</v>
      </c>
      <c r="M69" s="70">
        <v>7</v>
      </c>
      <c r="N69" s="15">
        <f t="shared" si="4"/>
        <v>24</v>
      </c>
      <c r="O69" s="15">
        <f t="shared" si="5"/>
        <v>0.72</v>
      </c>
      <c r="P69" s="12">
        <v>4.5</v>
      </c>
      <c r="Q69" s="70"/>
      <c r="R69" s="52">
        <v>150</v>
      </c>
    </row>
    <row r="70" spans="1:18" s="38" customFormat="1" x14ac:dyDescent="0.15">
      <c r="A70" s="32">
        <v>10069</v>
      </c>
      <c r="B70" s="32" t="s">
        <v>629</v>
      </c>
      <c r="C70" s="32">
        <v>1025</v>
      </c>
      <c r="D70" s="32">
        <v>2</v>
      </c>
      <c r="E70" s="15">
        <f>INDEX(monster!$H$2:$H$617,MATCH(skill!C70,monster!$A$2:$A$617,0))</f>
        <v>59.26</v>
      </c>
      <c r="F70" s="15">
        <f>INDEX(monster!$I$2:$I$617,MATCH(C70,monster!$A$2:$A$617,0))</f>
        <v>1.78</v>
      </c>
      <c r="G70" s="15" t="b">
        <f t="shared" si="3"/>
        <v>1</v>
      </c>
      <c r="H70" s="32">
        <v>1</v>
      </c>
      <c r="I70" s="15">
        <f>IF(H70&gt;0,HLOOKUP(R70/100,数值规划表!$B$37:$AA$39,3),1)</f>
        <v>1.7999999999999998</v>
      </c>
      <c r="J70" s="31" t="s">
        <v>1625</v>
      </c>
      <c r="K70" s="15">
        <f>INDEX(数值规划表!$B$15:$B$18,MATCH(J70,攻击范围,0))</f>
        <v>1</v>
      </c>
      <c r="L70" s="70">
        <f t="shared" si="6"/>
        <v>0.25</v>
      </c>
      <c r="M70" s="70">
        <v>7</v>
      </c>
      <c r="N70" s="15">
        <f t="shared" si="4"/>
        <v>27</v>
      </c>
      <c r="O70" s="15">
        <f t="shared" si="5"/>
        <v>0.8</v>
      </c>
      <c r="P70" s="12">
        <v>4.5</v>
      </c>
      <c r="Q70" s="70"/>
      <c r="R70" s="52">
        <v>150</v>
      </c>
    </row>
    <row r="71" spans="1:18" s="38" customFormat="1" x14ac:dyDescent="0.15">
      <c r="A71" s="32">
        <v>10070</v>
      </c>
      <c r="B71" s="32" t="s">
        <v>630</v>
      </c>
      <c r="C71" s="32">
        <v>1026</v>
      </c>
      <c r="D71" s="32">
        <v>3</v>
      </c>
      <c r="E71" s="15">
        <f>INDEX(monster!$H$2:$H$617,MATCH(skill!C71,monster!$A$2:$A$617,0))</f>
        <v>66.37</v>
      </c>
      <c r="F71" s="15">
        <f>INDEX(monster!$I$2:$I$617,MATCH(C71,monster!$A$2:$A$617,0))</f>
        <v>1.99</v>
      </c>
      <c r="G71" s="15" t="b">
        <f t="shared" si="3"/>
        <v>1</v>
      </c>
      <c r="H71" s="32">
        <v>1</v>
      </c>
      <c r="I71" s="15">
        <f>IF(H71&gt;0,HLOOKUP(R71/100,数值规划表!$B$37:$AA$39,3),1)</f>
        <v>1.7999999999999998</v>
      </c>
      <c r="J71" s="31" t="s">
        <v>1625</v>
      </c>
      <c r="K71" s="15">
        <f>INDEX(数值规划表!$B$15:$B$18,MATCH(J71,攻击范围,0))</f>
        <v>1</v>
      </c>
      <c r="L71" s="70">
        <f t="shared" si="6"/>
        <v>0.25</v>
      </c>
      <c r="M71" s="70">
        <v>7</v>
      </c>
      <c r="N71" s="15">
        <f t="shared" si="4"/>
        <v>30</v>
      </c>
      <c r="O71" s="15">
        <f t="shared" si="5"/>
        <v>0.9</v>
      </c>
      <c r="P71" s="12">
        <v>4.5</v>
      </c>
      <c r="Q71" s="70"/>
      <c r="R71" s="52">
        <v>150</v>
      </c>
    </row>
    <row r="72" spans="1:18" s="38" customFormat="1" x14ac:dyDescent="0.15">
      <c r="A72" s="32">
        <v>10071</v>
      </c>
      <c r="B72" s="32" t="s">
        <v>631</v>
      </c>
      <c r="C72" s="32">
        <v>1027</v>
      </c>
      <c r="D72" s="32">
        <v>4</v>
      </c>
      <c r="E72" s="15">
        <f>INDEX(monster!$H$2:$H$617,MATCH(skill!C72,monster!$A$2:$A$617,0))</f>
        <v>74.33</v>
      </c>
      <c r="F72" s="15">
        <f>INDEX(monster!$I$2:$I$617,MATCH(C72,monster!$A$2:$A$617,0))</f>
        <v>2.23</v>
      </c>
      <c r="G72" s="15" t="b">
        <f t="shared" si="3"/>
        <v>1</v>
      </c>
      <c r="H72" s="32">
        <v>1</v>
      </c>
      <c r="I72" s="15">
        <f>IF(H72&gt;0,HLOOKUP(R72/100,数值规划表!$B$37:$AA$39,3),1)</f>
        <v>1.7999999999999998</v>
      </c>
      <c r="J72" s="31" t="s">
        <v>1625</v>
      </c>
      <c r="K72" s="15">
        <f>INDEX(数值规划表!$B$15:$B$18,MATCH(J72,攻击范围,0))</f>
        <v>1</v>
      </c>
      <c r="L72" s="70">
        <f t="shared" si="6"/>
        <v>0.25</v>
      </c>
      <c r="M72" s="70">
        <v>7</v>
      </c>
      <c r="N72" s="15">
        <f t="shared" si="4"/>
        <v>33</v>
      </c>
      <c r="O72" s="15">
        <f t="shared" si="5"/>
        <v>1</v>
      </c>
      <c r="P72" s="12">
        <v>4.5</v>
      </c>
      <c r="Q72" s="70"/>
      <c r="R72" s="52">
        <v>150</v>
      </c>
    </row>
    <row r="73" spans="1:18" s="38" customFormat="1" x14ac:dyDescent="0.15">
      <c r="A73" s="32">
        <v>10072</v>
      </c>
      <c r="B73" s="32" t="s">
        <v>632</v>
      </c>
      <c r="C73" s="32">
        <v>1028</v>
      </c>
      <c r="D73" s="32">
        <v>5</v>
      </c>
      <c r="E73" s="15">
        <f>INDEX(monster!$H$2:$H$617,MATCH(skill!C73,monster!$A$2:$A$617,0))</f>
        <v>83.25</v>
      </c>
      <c r="F73" s="15">
        <f>INDEX(monster!$I$2:$I$617,MATCH(C73,monster!$A$2:$A$617,0))</f>
        <v>2.5</v>
      </c>
      <c r="G73" s="15" t="b">
        <f t="shared" si="3"/>
        <v>1</v>
      </c>
      <c r="H73" s="32">
        <v>1</v>
      </c>
      <c r="I73" s="15">
        <f>IF(H73&gt;0,HLOOKUP(R73/100,数值规划表!$B$37:$AA$39,3),1)</f>
        <v>1.7999999999999998</v>
      </c>
      <c r="J73" s="31" t="s">
        <v>1625</v>
      </c>
      <c r="K73" s="15">
        <f>INDEX(数值规划表!$B$15:$B$18,MATCH(J73,攻击范围,0))</f>
        <v>1</v>
      </c>
      <c r="L73" s="70">
        <f t="shared" si="6"/>
        <v>0.25</v>
      </c>
      <c r="M73" s="70">
        <v>7</v>
      </c>
      <c r="N73" s="15">
        <f t="shared" si="4"/>
        <v>37</v>
      </c>
      <c r="O73" s="15">
        <f t="shared" si="5"/>
        <v>1.1299999999999999</v>
      </c>
      <c r="P73" s="12">
        <v>4.5</v>
      </c>
      <c r="Q73" s="70"/>
      <c r="R73" s="52">
        <v>150</v>
      </c>
    </row>
    <row r="74" spans="1:18" s="38" customFormat="1" x14ac:dyDescent="0.15">
      <c r="A74" s="32">
        <v>10073</v>
      </c>
      <c r="B74" s="32" t="s">
        <v>633</v>
      </c>
      <c r="C74" s="32">
        <v>1029</v>
      </c>
      <c r="D74" s="32">
        <v>6</v>
      </c>
      <c r="E74" s="15">
        <f>INDEX(monster!$H$2:$H$617,MATCH(skill!C74,monster!$A$2:$A$617,0))</f>
        <v>93.24</v>
      </c>
      <c r="F74" s="15">
        <f>INDEX(monster!$I$2:$I$617,MATCH(C74,monster!$A$2:$A$617,0))</f>
        <v>2.8</v>
      </c>
      <c r="G74" s="15" t="b">
        <f t="shared" si="3"/>
        <v>1</v>
      </c>
      <c r="H74" s="32">
        <v>1</v>
      </c>
      <c r="I74" s="15">
        <f>IF(H74&gt;0,HLOOKUP(R74/100,数值规划表!$B$37:$AA$39,3),1)</f>
        <v>1.7999999999999998</v>
      </c>
      <c r="J74" s="31" t="s">
        <v>1625</v>
      </c>
      <c r="K74" s="15">
        <f>INDEX(数值规划表!$B$15:$B$18,MATCH(J74,攻击范围,0))</f>
        <v>1</v>
      </c>
      <c r="L74" s="70">
        <f t="shared" si="6"/>
        <v>0.25</v>
      </c>
      <c r="M74" s="70">
        <v>7</v>
      </c>
      <c r="N74" s="15">
        <f t="shared" si="4"/>
        <v>42</v>
      </c>
      <c r="O74" s="15">
        <f t="shared" si="5"/>
        <v>1.26</v>
      </c>
      <c r="P74" s="12">
        <v>4.5</v>
      </c>
      <c r="Q74" s="70"/>
      <c r="R74" s="52">
        <v>150</v>
      </c>
    </row>
    <row r="75" spans="1:18" s="38" customFormat="1" x14ac:dyDescent="0.15">
      <c r="A75" s="32">
        <v>10074</v>
      </c>
      <c r="B75" s="32" t="s">
        <v>634</v>
      </c>
      <c r="C75" s="32">
        <v>1030</v>
      </c>
      <c r="D75" s="32">
        <v>7</v>
      </c>
      <c r="E75" s="15">
        <f>INDEX(monster!$H$2:$H$617,MATCH(skill!C75,monster!$A$2:$A$617,0))</f>
        <v>104.43</v>
      </c>
      <c r="F75" s="15">
        <f>INDEX(monster!$I$2:$I$617,MATCH(C75,monster!$A$2:$A$617,0))</f>
        <v>3.13</v>
      </c>
      <c r="G75" s="15" t="b">
        <f t="shared" si="3"/>
        <v>1</v>
      </c>
      <c r="H75" s="32">
        <v>1</v>
      </c>
      <c r="I75" s="15">
        <f>IF(H75&gt;0,HLOOKUP(R75/100,数值规划表!$B$37:$AA$39,3),1)</f>
        <v>1.7999999999999998</v>
      </c>
      <c r="J75" s="31" t="s">
        <v>1625</v>
      </c>
      <c r="K75" s="15">
        <f>INDEX(数值规划表!$B$15:$B$18,MATCH(J75,攻击范围,0))</f>
        <v>1</v>
      </c>
      <c r="L75" s="70">
        <f t="shared" si="6"/>
        <v>0.25</v>
      </c>
      <c r="M75" s="70">
        <v>7</v>
      </c>
      <c r="N75" s="15">
        <f t="shared" si="4"/>
        <v>47</v>
      </c>
      <c r="O75" s="15">
        <f t="shared" si="5"/>
        <v>1.41</v>
      </c>
      <c r="P75" s="12">
        <v>4.5</v>
      </c>
      <c r="Q75" s="70"/>
      <c r="R75" s="52">
        <v>150</v>
      </c>
    </row>
    <row r="76" spans="1:18" s="38" customFormat="1" x14ac:dyDescent="0.15">
      <c r="A76" s="32">
        <v>10075</v>
      </c>
      <c r="B76" s="32" t="s">
        <v>635</v>
      </c>
      <c r="C76" s="32">
        <v>1031</v>
      </c>
      <c r="D76" s="32">
        <v>8</v>
      </c>
      <c r="E76" s="15">
        <f>INDEX(monster!$H$2:$H$617,MATCH(skill!C76,monster!$A$2:$A$617,0))</f>
        <v>116.96</v>
      </c>
      <c r="F76" s="15">
        <f>INDEX(monster!$I$2:$I$617,MATCH(C76,monster!$A$2:$A$617,0))</f>
        <v>3.51</v>
      </c>
      <c r="G76" s="15" t="b">
        <f t="shared" si="3"/>
        <v>1</v>
      </c>
      <c r="H76" s="32">
        <v>1</v>
      </c>
      <c r="I76" s="15">
        <f>IF(H76&gt;0,HLOOKUP(R76/100,数值规划表!$B$37:$AA$39,3),1)</f>
        <v>1.7999999999999998</v>
      </c>
      <c r="J76" s="31" t="s">
        <v>1625</v>
      </c>
      <c r="K76" s="15">
        <f>INDEX(数值规划表!$B$15:$B$18,MATCH(J76,攻击范围,0))</f>
        <v>1</v>
      </c>
      <c r="L76" s="70">
        <f t="shared" si="6"/>
        <v>0.25</v>
      </c>
      <c r="M76" s="70">
        <v>7</v>
      </c>
      <c r="N76" s="15">
        <f t="shared" si="4"/>
        <v>53</v>
      </c>
      <c r="O76" s="15">
        <f t="shared" si="5"/>
        <v>1.58</v>
      </c>
      <c r="P76" s="12">
        <v>4.5</v>
      </c>
      <c r="Q76" s="70"/>
      <c r="R76" s="52">
        <v>150</v>
      </c>
    </row>
    <row r="77" spans="1:18" s="38" customFormat="1" x14ac:dyDescent="0.15">
      <c r="A77" s="32">
        <v>10076</v>
      </c>
      <c r="B77" s="32" t="s">
        <v>636</v>
      </c>
      <c r="C77" s="32">
        <v>1032</v>
      </c>
      <c r="D77" s="32">
        <v>9</v>
      </c>
      <c r="E77" s="15">
        <f>INDEX(monster!$H$2:$H$617,MATCH(skill!C77,monster!$A$2:$A$617,0))</f>
        <v>131</v>
      </c>
      <c r="F77" s="15">
        <f>INDEX(monster!$I$2:$I$617,MATCH(C77,monster!$A$2:$A$617,0))</f>
        <v>3.93</v>
      </c>
      <c r="G77" s="15" t="b">
        <f t="shared" si="3"/>
        <v>1</v>
      </c>
      <c r="H77" s="32">
        <v>1</v>
      </c>
      <c r="I77" s="15">
        <f>IF(H77&gt;0,HLOOKUP(R77/100,数值规划表!$B$37:$AA$39,3),1)</f>
        <v>1.7999999999999998</v>
      </c>
      <c r="J77" s="31" t="s">
        <v>1625</v>
      </c>
      <c r="K77" s="15">
        <f>INDEX(数值规划表!$B$15:$B$18,MATCH(J77,攻击范围,0))</f>
        <v>1</v>
      </c>
      <c r="L77" s="70">
        <f t="shared" si="6"/>
        <v>0.25</v>
      </c>
      <c r="M77" s="70">
        <v>7</v>
      </c>
      <c r="N77" s="15">
        <f t="shared" si="4"/>
        <v>59</v>
      </c>
      <c r="O77" s="15">
        <f t="shared" si="5"/>
        <v>1.77</v>
      </c>
      <c r="P77" s="12">
        <v>4.5</v>
      </c>
      <c r="Q77" s="70"/>
      <c r="R77" s="52">
        <v>150</v>
      </c>
    </row>
    <row r="78" spans="1:18" s="38" customFormat="1" x14ac:dyDescent="0.15">
      <c r="A78" s="32">
        <v>10077</v>
      </c>
      <c r="B78" s="32" t="s">
        <v>637</v>
      </c>
      <c r="C78" s="32">
        <v>1033</v>
      </c>
      <c r="D78" s="32">
        <v>10</v>
      </c>
      <c r="E78" s="15">
        <f>INDEX(monster!$H$2:$H$617,MATCH(skill!C78,monster!$A$2:$A$617,0))</f>
        <v>146.72</v>
      </c>
      <c r="F78" s="15">
        <f>INDEX(monster!$I$2:$I$617,MATCH(C78,monster!$A$2:$A$617,0))</f>
        <v>4.4000000000000004</v>
      </c>
      <c r="G78" s="15" t="b">
        <f t="shared" si="3"/>
        <v>1</v>
      </c>
      <c r="H78" s="32">
        <v>1</v>
      </c>
      <c r="I78" s="15">
        <f>IF(H78&gt;0,HLOOKUP(R78/100,数值规划表!$B$37:$AA$39,3),1)</f>
        <v>1.7999999999999998</v>
      </c>
      <c r="J78" s="31" t="s">
        <v>1625</v>
      </c>
      <c r="K78" s="15">
        <f>INDEX(数值规划表!$B$15:$B$18,MATCH(J78,攻击范围,0))</f>
        <v>1</v>
      </c>
      <c r="L78" s="70">
        <f t="shared" si="6"/>
        <v>0.25</v>
      </c>
      <c r="M78" s="70">
        <v>7</v>
      </c>
      <c r="N78" s="15">
        <f t="shared" si="4"/>
        <v>66</v>
      </c>
      <c r="O78" s="15">
        <f t="shared" si="5"/>
        <v>1.98</v>
      </c>
      <c r="P78" s="12">
        <v>4.5</v>
      </c>
      <c r="Q78" s="70"/>
      <c r="R78" s="52">
        <v>150</v>
      </c>
    </row>
    <row r="79" spans="1:18" s="38" customFormat="1" x14ac:dyDescent="0.15">
      <c r="A79" s="32">
        <v>10078</v>
      </c>
      <c r="B79" s="32" t="s">
        <v>2791</v>
      </c>
      <c r="C79" s="32">
        <v>1023</v>
      </c>
      <c r="D79" s="32">
        <v>0</v>
      </c>
      <c r="E79" s="15">
        <f>INDEX(monster!$H$2:$H$617,MATCH(skill!C79,monster!$A$2:$A$617,0))</f>
        <v>47.24</v>
      </c>
      <c r="F79" s="15">
        <f>INDEX(monster!$I$2:$I$617,MATCH(C79,monster!$A$2:$A$617,0))</f>
        <v>1.42</v>
      </c>
      <c r="G79" s="15" t="b">
        <f t="shared" ref="G79:G89" si="7">ISNUMBER(FIND("普攻",B79))</f>
        <v>0</v>
      </c>
      <c r="H79" s="32">
        <v>1</v>
      </c>
      <c r="I79" s="15">
        <f>IF(H79&gt;0,HLOOKUP(R79/100,数值规划表!$B$37:$AA$39,3),1)</f>
        <v>1.7999999999999998</v>
      </c>
      <c r="J79" s="31" t="s">
        <v>1625</v>
      </c>
      <c r="K79" s="15">
        <f>INDEX(数值规划表!$B$15:$B$18,MATCH(J79,攻击范围,0))</f>
        <v>1</v>
      </c>
      <c r="L79" s="70">
        <f t="shared" si="6"/>
        <v>0.25</v>
      </c>
      <c r="M79" s="41">
        <v>7</v>
      </c>
      <c r="N79" s="15">
        <f t="shared" si="4"/>
        <v>21</v>
      </c>
      <c r="O79" s="15">
        <f t="shared" si="5"/>
        <v>0.64</v>
      </c>
      <c r="P79" s="15">
        <f>IF(G79,INDEX(monster!$J$2:$J$606,MATCH(skill!C79,monster!$A$2:$A$606,0)),Q79)</f>
        <v>4.5</v>
      </c>
      <c r="Q79" s="70">
        <v>4.5</v>
      </c>
      <c r="R79" s="52">
        <v>150</v>
      </c>
    </row>
    <row r="80" spans="1:18" s="38" customFormat="1" x14ac:dyDescent="0.15">
      <c r="A80" s="32">
        <v>10079</v>
      </c>
      <c r="B80" s="32" t="s">
        <v>719</v>
      </c>
      <c r="C80" s="32">
        <v>1024</v>
      </c>
      <c r="D80" s="32">
        <v>1</v>
      </c>
      <c r="E80" s="15">
        <f>INDEX(monster!$H$2:$H$617,MATCH(skill!C80,monster!$A$2:$A$617,0))</f>
        <v>52.91</v>
      </c>
      <c r="F80" s="15">
        <f>INDEX(monster!$I$2:$I$617,MATCH(C80,monster!$A$2:$A$617,0))</f>
        <v>1.59</v>
      </c>
      <c r="G80" s="15" t="b">
        <f t="shared" si="7"/>
        <v>0</v>
      </c>
      <c r="H80" s="32">
        <v>1</v>
      </c>
      <c r="I80" s="15">
        <f>IF(H80&gt;0,HLOOKUP(R80/100,数值规划表!$B$37:$AA$39,3),1)</f>
        <v>1.7999999999999998</v>
      </c>
      <c r="J80" s="31" t="s">
        <v>1625</v>
      </c>
      <c r="K80" s="15">
        <f>INDEX(数值规划表!$B$15:$B$18,MATCH(J80,攻击范围,0))</f>
        <v>1</v>
      </c>
      <c r="L80" s="70">
        <f t="shared" si="6"/>
        <v>0.25</v>
      </c>
      <c r="M80" s="70">
        <v>7</v>
      </c>
      <c r="N80" s="15">
        <f t="shared" si="4"/>
        <v>24</v>
      </c>
      <c r="O80" s="15">
        <f t="shared" si="5"/>
        <v>0.72</v>
      </c>
      <c r="P80" s="15">
        <f>IF(G80,INDEX(monster!$J$2:$J$606,MATCH(skill!C80,monster!$A$2:$A$606,0)),Q80)</f>
        <v>4.5</v>
      </c>
      <c r="Q80" s="70">
        <v>4.5</v>
      </c>
      <c r="R80" s="52">
        <v>150</v>
      </c>
    </row>
    <row r="81" spans="1:18" s="38" customFormat="1" x14ac:dyDescent="0.15">
      <c r="A81" s="32">
        <v>10080</v>
      </c>
      <c r="B81" s="32" t="s">
        <v>720</v>
      </c>
      <c r="C81" s="32">
        <v>1025</v>
      </c>
      <c r="D81" s="32">
        <v>2</v>
      </c>
      <c r="E81" s="15">
        <f>INDEX(monster!$H$2:$H$617,MATCH(skill!C81,monster!$A$2:$A$617,0))</f>
        <v>59.26</v>
      </c>
      <c r="F81" s="15">
        <f>INDEX(monster!$I$2:$I$617,MATCH(C81,monster!$A$2:$A$617,0))</f>
        <v>1.78</v>
      </c>
      <c r="G81" s="15" t="b">
        <f t="shared" si="7"/>
        <v>0</v>
      </c>
      <c r="H81" s="32">
        <v>1</v>
      </c>
      <c r="I81" s="15">
        <f>IF(H81&gt;0,HLOOKUP(R81/100,数值规划表!$B$37:$AA$39,3),1)</f>
        <v>1.7999999999999998</v>
      </c>
      <c r="J81" s="31" t="s">
        <v>1625</v>
      </c>
      <c r="K81" s="15">
        <f>INDEX(数值规划表!$B$15:$B$18,MATCH(J81,攻击范围,0))</f>
        <v>1</v>
      </c>
      <c r="L81" s="70">
        <f t="shared" si="6"/>
        <v>0.25</v>
      </c>
      <c r="M81" s="70">
        <v>7</v>
      </c>
      <c r="N81" s="15">
        <f t="shared" si="4"/>
        <v>27</v>
      </c>
      <c r="O81" s="15">
        <f t="shared" si="5"/>
        <v>0.8</v>
      </c>
      <c r="P81" s="15">
        <f>IF(G81,INDEX(monster!$J$2:$J$606,MATCH(skill!C81,monster!$A$2:$A$606,0)),Q81)</f>
        <v>4.5</v>
      </c>
      <c r="Q81" s="70">
        <v>4.5</v>
      </c>
      <c r="R81" s="52">
        <v>150</v>
      </c>
    </row>
    <row r="82" spans="1:18" s="38" customFormat="1" x14ac:dyDescent="0.15">
      <c r="A82" s="32">
        <v>10081</v>
      </c>
      <c r="B82" s="32" t="s">
        <v>721</v>
      </c>
      <c r="C82" s="32">
        <v>1026</v>
      </c>
      <c r="D82" s="32">
        <v>3</v>
      </c>
      <c r="E82" s="15">
        <f>INDEX(monster!$H$2:$H$617,MATCH(skill!C82,monster!$A$2:$A$617,0))</f>
        <v>66.37</v>
      </c>
      <c r="F82" s="15">
        <f>INDEX(monster!$I$2:$I$617,MATCH(C82,monster!$A$2:$A$617,0))</f>
        <v>1.99</v>
      </c>
      <c r="G82" s="15" t="b">
        <f t="shared" si="7"/>
        <v>0</v>
      </c>
      <c r="H82" s="32">
        <v>1</v>
      </c>
      <c r="I82" s="15">
        <f>IF(H82&gt;0,HLOOKUP(R82/100,数值规划表!$B$37:$AA$39,3),1)</f>
        <v>1.7999999999999998</v>
      </c>
      <c r="J82" s="31" t="s">
        <v>1625</v>
      </c>
      <c r="K82" s="15">
        <f>INDEX(数值规划表!$B$15:$B$18,MATCH(J82,攻击范围,0))</f>
        <v>1</v>
      </c>
      <c r="L82" s="70">
        <f t="shared" si="6"/>
        <v>0.25</v>
      </c>
      <c r="M82" s="70">
        <v>7</v>
      </c>
      <c r="N82" s="15">
        <f t="shared" si="4"/>
        <v>30</v>
      </c>
      <c r="O82" s="15">
        <f t="shared" si="5"/>
        <v>0.9</v>
      </c>
      <c r="P82" s="15">
        <f>IF(G82,INDEX(monster!$J$2:$J$606,MATCH(skill!C82,monster!$A$2:$A$606,0)),Q82)</f>
        <v>4.5</v>
      </c>
      <c r="Q82" s="70">
        <v>4.5</v>
      </c>
      <c r="R82" s="52">
        <v>150</v>
      </c>
    </row>
    <row r="83" spans="1:18" s="38" customFormat="1" x14ac:dyDescent="0.15">
      <c r="A83" s="32">
        <v>10082</v>
      </c>
      <c r="B83" s="32" t="s">
        <v>722</v>
      </c>
      <c r="C83" s="32">
        <v>1027</v>
      </c>
      <c r="D83" s="32">
        <v>4</v>
      </c>
      <c r="E83" s="15">
        <f>INDEX(monster!$H$2:$H$617,MATCH(skill!C83,monster!$A$2:$A$617,0))</f>
        <v>74.33</v>
      </c>
      <c r="F83" s="15">
        <f>INDEX(monster!$I$2:$I$617,MATCH(C83,monster!$A$2:$A$617,0))</f>
        <v>2.23</v>
      </c>
      <c r="G83" s="15" t="b">
        <f t="shared" si="7"/>
        <v>0</v>
      </c>
      <c r="H83" s="32">
        <v>1</v>
      </c>
      <c r="I83" s="15">
        <f>IF(H83&gt;0,HLOOKUP(R83/100,数值规划表!$B$37:$AA$39,3),1)</f>
        <v>1.7999999999999998</v>
      </c>
      <c r="J83" s="31" t="s">
        <v>1625</v>
      </c>
      <c r="K83" s="15">
        <f>INDEX(数值规划表!$B$15:$B$18,MATCH(J83,攻击范围,0))</f>
        <v>1</v>
      </c>
      <c r="L83" s="70">
        <f t="shared" si="6"/>
        <v>0.25</v>
      </c>
      <c r="M83" s="70">
        <v>7</v>
      </c>
      <c r="N83" s="15">
        <f t="shared" si="4"/>
        <v>33</v>
      </c>
      <c r="O83" s="15">
        <f t="shared" si="5"/>
        <v>1</v>
      </c>
      <c r="P83" s="15">
        <f>IF(G83,INDEX(monster!$J$2:$J$606,MATCH(skill!C83,monster!$A$2:$A$606,0)),Q83)</f>
        <v>4.5</v>
      </c>
      <c r="Q83" s="70">
        <v>4.5</v>
      </c>
      <c r="R83" s="52">
        <v>150</v>
      </c>
    </row>
    <row r="84" spans="1:18" s="38" customFormat="1" x14ac:dyDescent="0.15">
      <c r="A84" s="32">
        <v>10083</v>
      </c>
      <c r="B84" s="32" t="s">
        <v>723</v>
      </c>
      <c r="C84" s="32">
        <v>1028</v>
      </c>
      <c r="D84" s="32">
        <v>5</v>
      </c>
      <c r="E84" s="15">
        <f>INDEX(monster!$H$2:$H$617,MATCH(skill!C84,monster!$A$2:$A$617,0))</f>
        <v>83.25</v>
      </c>
      <c r="F84" s="15">
        <f>INDEX(monster!$I$2:$I$617,MATCH(C84,monster!$A$2:$A$617,0))</f>
        <v>2.5</v>
      </c>
      <c r="G84" s="15" t="b">
        <f t="shared" si="7"/>
        <v>0</v>
      </c>
      <c r="H84" s="32">
        <v>1</v>
      </c>
      <c r="I84" s="15">
        <f>IF(H84&gt;0,HLOOKUP(R84/100,数值规划表!$B$37:$AA$39,3),1)</f>
        <v>1.7999999999999998</v>
      </c>
      <c r="J84" s="31" t="s">
        <v>1625</v>
      </c>
      <c r="K84" s="15">
        <f>INDEX(数值规划表!$B$15:$B$18,MATCH(J84,攻击范围,0))</f>
        <v>1</v>
      </c>
      <c r="L84" s="70">
        <f t="shared" si="6"/>
        <v>0.25</v>
      </c>
      <c r="M84" s="70">
        <v>7</v>
      </c>
      <c r="N84" s="15">
        <f t="shared" si="4"/>
        <v>37</v>
      </c>
      <c r="O84" s="15">
        <f t="shared" si="5"/>
        <v>1.1299999999999999</v>
      </c>
      <c r="P84" s="15">
        <f>IF(G84,INDEX(monster!$J$2:$J$606,MATCH(skill!C84,monster!$A$2:$A$606,0)),Q84)</f>
        <v>4.5</v>
      </c>
      <c r="Q84" s="70">
        <v>4.5</v>
      </c>
      <c r="R84" s="52">
        <v>150</v>
      </c>
    </row>
    <row r="85" spans="1:18" s="38" customFormat="1" x14ac:dyDescent="0.15">
      <c r="A85" s="32">
        <v>10084</v>
      </c>
      <c r="B85" s="32" t="s">
        <v>724</v>
      </c>
      <c r="C85" s="32">
        <v>1029</v>
      </c>
      <c r="D85" s="32">
        <v>6</v>
      </c>
      <c r="E85" s="15">
        <f>INDEX(monster!$H$2:$H$617,MATCH(skill!C85,monster!$A$2:$A$617,0))</f>
        <v>93.24</v>
      </c>
      <c r="F85" s="15">
        <f>INDEX(monster!$I$2:$I$617,MATCH(C85,monster!$A$2:$A$617,0))</f>
        <v>2.8</v>
      </c>
      <c r="G85" s="15" t="b">
        <f t="shared" si="7"/>
        <v>0</v>
      </c>
      <c r="H85" s="32">
        <v>1</v>
      </c>
      <c r="I85" s="15">
        <f>IF(H85&gt;0,HLOOKUP(R85/100,数值规划表!$B$37:$AA$39,3),1)</f>
        <v>1.7999999999999998</v>
      </c>
      <c r="J85" s="31" t="s">
        <v>1625</v>
      </c>
      <c r="K85" s="15">
        <f>INDEX(数值规划表!$B$15:$B$18,MATCH(J85,攻击范围,0))</f>
        <v>1</v>
      </c>
      <c r="L85" s="70">
        <f t="shared" si="6"/>
        <v>0.25</v>
      </c>
      <c r="M85" s="70">
        <v>7</v>
      </c>
      <c r="N85" s="15">
        <f t="shared" si="4"/>
        <v>42</v>
      </c>
      <c r="O85" s="15">
        <f t="shared" si="5"/>
        <v>1.26</v>
      </c>
      <c r="P85" s="15">
        <f>IF(G85,INDEX(monster!$J$2:$J$606,MATCH(skill!C85,monster!$A$2:$A$606,0)),Q85)</f>
        <v>4.5</v>
      </c>
      <c r="Q85" s="70">
        <v>4.5</v>
      </c>
      <c r="R85" s="52">
        <v>150</v>
      </c>
    </row>
    <row r="86" spans="1:18" s="38" customFormat="1" x14ac:dyDescent="0.15">
      <c r="A86" s="32">
        <v>10085</v>
      </c>
      <c r="B86" s="32" t="s">
        <v>725</v>
      </c>
      <c r="C86" s="32">
        <v>1030</v>
      </c>
      <c r="D86" s="32">
        <v>7</v>
      </c>
      <c r="E86" s="15">
        <f>INDEX(monster!$H$2:$H$617,MATCH(skill!C86,monster!$A$2:$A$617,0))</f>
        <v>104.43</v>
      </c>
      <c r="F86" s="15">
        <f>INDEX(monster!$I$2:$I$617,MATCH(C86,monster!$A$2:$A$617,0))</f>
        <v>3.13</v>
      </c>
      <c r="G86" s="15" t="b">
        <f t="shared" si="7"/>
        <v>0</v>
      </c>
      <c r="H86" s="32">
        <v>1</v>
      </c>
      <c r="I86" s="15">
        <f>IF(H86&gt;0,HLOOKUP(R86/100,数值规划表!$B$37:$AA$39,3),1)</f>
        <v>1.7999999999999998</v>
      </c>
      <c r="J86" s="31" t="s">
        <v>1625</v>
      </c>
      <c r="K86" s="15">
        <f>INDEX(数值规划表!$B$15:$B$18,MATCH(J86,攻击范围,0))</f>
        <v>1</v>
      </c>
      <c r="L86" s="70">
        <f t="shared" si="6"/>
        <v>0.25</v>
      </c>
      <c r="M86" s="70">
        <v>7</v>
      </c>
      <c r="N86" s="15">
        <f t="shared" si="4"/>
        <v>47</v>
      </c>
      <c r="O86" s="15">
        <f t="shared" si="5"/>
        <v>1.41</v>
      </c>
      <c r="P86" s="15">
        <f>IF(G86,INDEX(monster!$J$2:$J$606,MATCH(skill!C86,monster!$A$2:$A$606,0)),Q86)</f>
        <v>4.5</v>
      </c>
      <c r="Q86" s="70">
        <v>4.5</v>
      </c>
      <c r="R86" s="52">
        <v>150</v>
      </c>
    </row>
    <row r="87" spans="1:18" s="38" customFormat="1" x14ac:dyDescent="0.15">
      <c r="A87" s="32">
        <v>10086</v>
      </c>
      <c r="B87" s="32" t="s">
        <v>726</v>
      </c>
      <c r="C87" s="32">
        <v>1031</v>
      </c>
      <c r="D87" s="32">
        <v>8</v>
      </c>
      <c r="E87" s="15">
        <f>INDEX(monster!$H$2:$H$617,MATCH(skill!C87,monster!$A$2:$A$617,0))</f>
        <v>116.96</v>
      </c>
      <c r="F87" s="15">
        <f>INDEX(monster!$I$2:$I$617,MATCH(C87,monster!$A$2:$A$617,0))</f>
        <v>3.51</v>
      </c>
      <c r="G87" s="15" t="b">
        <f t="shared" si="7"/>
        <v>0</v>
      </c>
      <c r="H87" s="32">
        <v>1</v>
      </c>
      <c r="I87" s="15">
        <f>IF(H87&gt;0,HLOOKUP(R87/100,数值规划表!$B$37:$AA$39,3),1)</f>
        <v>1.7999999999999998</v>
      </c>
      <c r="J87" s="31" t="s">
        <v>1625</v>
      </c>
      <c r="K87" s="15">
        <f>INDEX(数值规划表!$B$15:$B$18,MATCH(J87,攻击范围,0))</f>
        <v>1</v>
      </c>
      <c r="L87" s="70">
        <f t="shared" si="6"/>
        <v>0.25</v>
      </c>
      <c r="M87" s="70">
        <v>7</v>
      </c>
      <c r="N87" s="15">
        <f t="shared" si="4"/>
        <v>53</v>
      </c>
      <c r="O87" s="15">
        <f t="shared" si="5"/>
        <v>1.58</v>
      </c>
      <c r="P87" s="15">
        <f>IF(G87,INDEX(monster!$J$2:$J$606,MATCH(skill!C87,monster!$A$2:$A$606,0)),Q87)</f>
        <v>4.5</v>
      </c>
      <c r="Q87" s="70">
        <v>4.5</v>
      </c>
      <c r="R87" s="52">
        <v>150</v>
      </c>
    </row>
    <row r="88" spans="1:18" s="38" customFormat="1" x14ac:dyDescent="0.15">
      <c r="A88" s="32">
        <v>10087</v>
      </c>
      <c r="B88" s="32" t="s">
        <v>727</v>
      </c>
      <c r="C88" s="32">
        <v>1032</v>
      </c>
      <c r="D88" s="32">
        <v>9</v>
      </c>
      <c r="E88" s="15">
        <f>INDEX(monster!$H$2:$H$617,MATCH(skill!C88,monster!$A$2:$A$617,0))</f>
        <v>131</v>
      </c>
      <c r="F88" s="15">
        <f>INDEX(monster!$I$2:$I$617,MATCH(C88,monster!$A$2:$A$617,0))</f>
        <v>3.93</v>
      </c>
      <c r="G88" s="15" t="b">
        <f t="shared" si="7"/>
        <v>0</v>
      </c>
      <c r="H88" s="32">
        <v>1</v>
      </c>
      <c r="I88" s="15">
        <f>IF(H88&gt;0,HLOOKUP(R88/100,数值规划表!$B$37:$AA$39,3),1)</f>
        <v>1.7999999999999998</v>
      </c>
      <c r="J88" s="31" t="s">
        <v>1625</v>
      </c>
      <c r="K88" s="15">
        <f>INDEX(数值规划表!$B$15:$B$18,MATCH(J88,攻击范围,0))</f>
        <v>1</v>
      </c>
      <c r="L88" s="70">
        <f t="shared" si="6"/>
        <v>0.25</v>
      </c>
      <c r="M88" s="70">
        <v>7</v>
      </c>
      <c r="N88" s="15">
        <f t="shared" si="4"/>
        <v>59</v>
      </c>
      <c r="O88" s="15">
        <f t="shared" si="5"/>
        <v>1.77</v>
      </c>
      <c r="P88" s="15">
        <f>IF(G88,INDEX(monster!$J$2:$J$606,MATCH(skill!C88,monster!$A$2:$A$606,0)),Q88)</f>
        <v>4.5</v>
      </c>
      <c r="Q88" s="70">
        <v>4.5</v>
      </c>
      <c r="R88" s="52">
        <v>150</v>
      </c>
    </row>
    <row r="89" spans="1:18" s="38" customFormat="1" x14ac:dyDescent="0.15">
      <c r="A89" s="32">
        <v>10088</v>
      </c>
      <c r="B89" s="32" t="s">
        <v>728</v>
      </c>
      <c r="C89" s="32">
        <v>1033</v>
      </c>
      <c r="D89" s="32">
        <v>10</v>
      </c>
      <c r="E89" s="15">
        <f>INDEX(monster!$H$2:$H$617,MATCH(skill!C89,monster!$A$2:$A$617,0))</f>
        <v>146.72</v>
      </c>
      <c r="F89" s="15">
        <f>INDEX(monster!$I$2:$I$617,MATCH(C89,monster!$A$2:$A$617,0))</f>
        <v>4.4000000000000004</v>
      </c>
      <c r="G89" s="15" t="b">
        <f t="shared" si="7"/>
        <v>0</v>
      </c>
      <c r="H89" s="32">
        <v>1</v>
      </c>
      <c r="I89" s="15">
        <f>IF(H89&gt;0,HLOOKUP(R89/100,数值规划表!$B$37:$AA$39,3),1)</f>
        <v>1.7999999999999998</v>
      </c>
      <c r="J89" s="31" t="s">
        <v>1625</v>
      </c>
      <c r="K89" s="15">
        <f>INDEX(数值规划表!$B$15:$B$18,MATCH(J89,攻击范围,0))</f>
        <v>1</v>
      </c>
      <c r="L89" s="70">
        <f t="shared" si="6"/>
        <v>0.25</v>
      </c>
      <c r="M89" s="70">
        <v>7</v>
      </c>
      <c r="N89" s="15">
        <f t="shared" si="4"/>
        <v>66</v>
      </c>
      <c r="O89" s="15">
        <f t="shared" si="5"/>
        <v>1.98</v>
      </c>
      <c r="P89" s="15">
        <f>IF(G89,INDEX(monster!$J$2:$J$606,MATCH(skill!C89,monster!$A$2:$A$606,0)),Q89)</f>
        <v>4.5</v>
      </c>
      <c r="Q89" s="70">
        <v>4.5</v>
      </c>
      <c r="R89" s="52">
        <v>150</v>
      </c>
    </row>
    <row r="90" spans="1:18" s="38" customFormat="1" x14ac:dyDescent="0.15">
      <c r="A90" s="32">
        <v>10089</v>
      </c>
      <c r="B90" s="32" t="s">
        <v>2792</v>
      </c>
      <c r="C90" s="32">
        <v>1034</v>
      </c>
      <c r="D90" s="32">
        <v>0</v>
      </c>
      <c r="E90" s="15">
        <f>INDEX(monster!$H$2:$H$617,MATCH(skill!C90,monster!$A$2:$A$617,0))</f>
        <v>29.78</v>
      </c>
      <c r="F90" s="15">
        <f>INDEX(monster!$I$2:$I$617,MATCH(C90,monster!$A$2:$A$617,0))</f>
        <v>0.89</v>
      </c>
      <c r="G90" s="15" t="b">
        <f t="shared" si="3"/>
        <v>1</v>
      </c>
      <c r="H90" s="32">
        <v>1</v>
      </c>
      <c r="I90" s="15">
        <f>IF(H90&gt;0,HLOOKUP(R90/100,数值规划表!$B$37:$AA$39,3),1)</f>
        <v>1.984</v>
      </c>
      <c r="J90" s="31" t="s">
        <v>1627</v>
      </c>
      <c r="K90" s="15">
        <f>INDEX(数值规划表!$B$15:$B$18,MATCH(J90,攻击范围,0))</f>
        <v>0.7</v>
      </c>
      <c r="L90" s="30">
        <v>0.75</v>
      </c>
      <c r="M90" s="41">
        <v>0</v>
      </c>
      <c r="N90" s="15">
        <f t="shared" si="4"/>
        <v>31</v>
      </c>
      <c r="O90" s="15">
        <f t="shared" si="5"/>
        <v>0.93</v>
      </c>
      <c r="P90" s="15">
        <f>IF(G90,INDEX(monster!$J$2:$J$606,MATCH(skill!C90,monster!$A$2:$A$606,0)),Q90)</f>
        <v>6.5</v>
      </c>
      <c r="Q90" s="70"/>
      <c r="R90" s="52">
        <v>160</v>
      </c>
    </row>
    <row r="91" spans="1:18" s="38" customFormat="1" x14ac:dyDescent="0.15">
      <c r="A91" s="32">
        <v>10090</v>
      </c>
      <c r="B91" s="32" t="s">
        <v>2793</v>
      </c>
      <c r="C91" s="32">
        <v>1035</v>
      </c>
      <c r="D91" s="32">
        <v>1</v>
      </c>
      <c r="E91" s="15">
        <f>INDEX(monster!$H$2:$H$617,MATCH(skill!C91,monster!$A$2:$A$617,0))</f>
        <v>33.35</v>
      </c>
      <c r="F91" s="15">
        <f>INDEX(monster!$I$2:$I$617,MATCH(C91,monster!$A$2:$A$617,0))</f>
        <v>1</v>
      </c>
      <c r="G91" s="15" t="b">
        <f t="shared" si="3"/>
        <v>1</v>
      </c>
      <c r="H91" s="32">
        <v>1</v>
      </c>
      <c r="I91" s="15">
        <f>IF(H91&gt;0,HLOOKUP(R91/100,数值规划表!$B$37:$AA$39,3),1)</f>
        <v>1.984</v>
      </c>
      <c r="J91" s="31" t="s">
        <v>1627</v>
      </c>
      <c r="K91" s="15">
        <f>INDEX(数值规划表!$B$15:$B$18,MATCH(J91,攻击范围,0))</f>
        <v>0.7</v>
      </c>
      <c r="L91" s="70">
        <v>0.75</v>
      </c>
      <c r="M91" s="41">
        <v>0</v>
      </c>
      <c r="N91" s="15">
        <f t="shared" si="4"/>
        <v>35</v>
      </c>
      <c r="O91" s="15">
        <f t="shared" si="5"/>
        <v>1.04</v>
      </c>
      <c r="P91" s="15">
        <f>IF(G91,INDEX(monster!$J$2:$J$606,MATCH(skill!C91,monster!$A$2:$A$606,0)),Q91)</f>
        <v>6.5</v>
      </c>
      <c r="Q91" s="70"/>
      <c r="R91" s="52">
        <v>160</v>
      </c>
    </row>
    <row r="92" spans="1:18" s="38" customFormat="1" x14ac:dyDescent="0.15">
      <c r="A92" s="32">
        <v>10091</v>
      </c>
      <c r="B92" s="32" t="s">
        <v>638</v>
      </c>
      <c r="C92" s="32">
        <v>1036</v>
      </c>
      <c r="D92" s="32">
        <v>2</v>
      </c>
      <c r="E92" s="15">
        <f>INDEX(monster!$H$2:$H$617,MATCH(skill!C92,monster!$A$2:$A$617,0))</f>
        <v>37.36</v>
      </c>
      <c r="F92" s="15">
        <f>INDEX(monster!$I$2:$I$617,MATCH(C92,monster!$A$2:$A$617,0))</f>
        <v>1.1200000000000001</v>
      </c>
      <c r="G92" s="15" t="b">
        <f t="shared" si="3"/>
        <v>1</v>
      </c>
      <c r="H92" s="32">
        <v>1</v>
      </c>
      <c r="I92" s="15">
        <f>IF(H92&gt;0,HLOOKUP(R92/100,数值规划表!$B$37:$AA$39,3),1)</f>
        <v>1.984</v>
      </c>
      <c r="J92" s="31" t="s">
        <v>1627</v>
      </c>
      <c r="K92" s="15">
        <f>INDEX(数值规划表!$B$15:$B$18,MATCH(J92,攻击范围,0))</f>
        <v>0.7</v>
      </c>
      <c r="L92" s="70">
        <v>0.75</v>
      </c>
      <c r="M92" s="41">
        <v>0</v>
      </c>
      <c r="N92" s="15">
        <f t="shared" si="4"/>
        <v>39</v>
      </c>
      <c r="O92" s="15">
        <f t="shared" si="5"/>
        <v>1.17</v>
      </c>
      <c r="P92" s="15">
        <f>IF(G92,INDEX(monster!$J$2:$J$606,MATCH(skill!C92,monster!$A$2:$A$606,0)),Q92)</f>
        <v>6.5</v>
      </c>
      <c r="Q92" s="70"/>
      <c r="R92" s="52">
        <v>160</v>
      </c>
    </row>
    <row r="93" spans="1:18" s="38" customFormat="1" x14ac:dyDescent="0.15">
      <c r="A93" s="32">
        <v>10092</v>
      </c>
      <c r="B93" s="32" t="s">
        <v>639</v>
      </c>
      <c r="C93" s="32">
        <v>1037</v>
      </c>
      <c r="D93" s="32">
        <v>3</v>
      </c>
      <c r="E93" s="15">
        <f>INDEX(monster!$H$2:$H$617,MATCH(skill!C93,monster!$A$2:$A$617,0))</f>
        <v>41.84</v>
      </c>
      <c r="F93" s="15">
        <f>INDEX(monster!$I$2:$I$617,MATCH(C93,monster!$A$2:$A$617,0))</f>
        <v>1.26</v>
      </c>
      <c r="G93" s="15" t="b">
        <f t="shared" si="3"/>
        <v>1</v>
      </c>
      <c r="H93" s="32">
        <v>1</v>
      </c>
      <c r="I93" s="15">
        <f>IF(H93&gt;0,HLOOKUP(R93/100,数值规划表!$B$37:$AA$39,3),1)</f>
        <v>1.984</v>
      </c>
      <c r="J93" s="31" t="s">
        <v>1627</v>
      </c>
      <c r="K93" s="15">
        <f>INDEX(数值规划表!$B$15:$B$18,MATCH(J93,攻击范围,0))</f>
        <v>0.7</v>
      </c>
      <c r="L93" s="70">
        <v>0.75</v>
      </c>
      <c r="M93" s="41">
        <v>0</v>
      </c>
      <c r="N93" s="15">
        <f t="shared" si="4"/>
        <v>44</v>
      </c>
      <c r="O93" s="15">
        <f t="shared" si="5"/>
        <v>1.31</v>
      </c>
      <c r="P93" s="15">
        <f>IF(G93,INDEX(monster!$J$2:$J$606,MATCH(skill!C93,monster!$A$2:$A$606,0)),Q93)</f>
        <v>6.5</v>
      </c>
      <c r="Q93" s="70"/>
      <c r="R93" s="52">
        <v>160</v>
      </c>
    </row>
    <row r="94" spans="1:18" s="38" customFormat="1" x14ac:dyDescent="0.15">
      <c r="A94" s="32">
        <v>10093</v>
      </c>
      <c r="B94" s="32" t="s">
        <v>640</v>
      </c>
      <c r="C94" s="32">
        <v>1038</v>
      </c>
      <c r="D94" s="32">
        <v>4</v>
      </c>
      <c r="E94" s="15">
        <f>INDEX(monster!$H$2:$H$617,MATCH(skill!C94,monster!$A$2:$A$617,0))</f>
        <v>46.86</v>
      </c>
      <c r="F94" s="15">
        <f>INDEX(monster!$I$2:$I$617,MATCH(C94,monster!$A$2:$A$617,0))</f>
        <v>1.41</v>
      </c>
      <c r="G94" s="15" t="b">
        <f t="shared" si="3"/>
        <v>1</v>
      </c>
      <c r="H94" s="32">
        <v>1</v>
      </c>
      <c r="I94" s="15">
        <f>IF(H94&gt;0,HLOOKUP(R94/100,数值规划表!$B$37:$AA$39,3),1)</f>
        <v>1.984</v>
      </c>
      <c r="J94" s="31" t="s">
        <v>1627</v>
      </c>
      <c r="K94" s="15">
        <f>INDEX(数值规划表!$B$15:$B$18,MATCH(J94,攻击范围,0))</f>
        <v>0.7</v>
      </c>
      <c r="L94" s="70">
        <v>0.75</v>
      </c>
      <c r="M94" s="41">
        <v>0</v>
      </c>
      <c r="N94" s="15">
        <f t="shared" si="4"/>
        <v>49</v>
      </c>
      <c r="O94" s="15">
        <f t="shared" si="5"/>
        <v>1.47</v>
      </c>
      <c r="P94" s="15">
        <f>IF(G94,INDEX(monster!$J$2:$J$606,MATCH(skill!C94,monster!$A$2:$A$606,0)),Q94)</f>
        <v>6.5</v>
      </c>
      <c r="Q94" s="70"/>
      <c r="R94" s="52">
        <v>160</v>
      </c>
    </row>
    <row r="95" spans="1:18" s="38" customFormat="1" x14ac:dyDescent="0.15">
      <c r="A95" s="32">
        <v>10094</v>
      </c>
      <c r="B95" s="32" t="s">
        <v>641</v>
      </c>
      <c r="C95" s="32">
        <v>1039</v>
      </c>
      <c r="D95" s="32">
        <v>5</v>
      </c>
      <c r="E95" s="15">
        <f>INDEX(monster!$H$2:$H$617,MATCH(skill!C95,monster!$A$2:$A$617,0))</f>
        <v>52.48</v>
      </c>
      <c r="F95" s="15">
        <f>INDEX(monster!$I$2:$I$617,MATCH(C95,monster!$A$2:$A$617,0))</f>
        <v>1.57</v>
      </c>
      <c r="G95" s="15" t="b">
        <f t="shared" si="3"/>
        <v>1</v>
      </c>
      <c r="H95" s="32">
        <v>1</v>
      </c>
      <c r="I95" s="15">
        <f>IF(H95&gt;0,HLOOKUP(R95/100,数值规划表!$B$37:$AA$39,3),1)</f>
        <v>1.984</v>
      </c>
      <c r="J95" s="31" t="s">
        <v>1627</v>
      </c>
      <c r="K95" s="15">
        <f>INDEX(数值规划表!$B$15:$B$18,MATCH(J95,攻击范围,0))</f>
        <v>0.7</v>
      </c>
      <c r="L95" s="70">
        <v>0.75</v>
      </c>
      <c r="M95" s="41">
        <v>0</v>
      </c>
      <c r="N95" s="15">
        <f t="shared" si="4"/>
        <v>55</v>
      </c>
      <c r="O95" s="15">
        <f t="shared" si="5"/>
        <v>1.64</v>
      </c>
      <c r="P95" s="15">
        <f>IF(G95,INDEX(monster!$J$2:$J$606,MATCH(skill!C95,monster!$A$2:$A$606,0)),Q95)</f>
        <v>6.5</v>
      </c>
      <c r="Q95" s="70"/>
      <c r="R95" s="52">
        <v>160</v>
      </c>
    </row>
    <row r="96" spans="1:18" s="38" customFormat="1" x14ac:dyDescent="0.15">
      <c r="A96" s="32">
        <v>10095</v>
      </c>
      <c r="B96" s="32" t="s">
        <v>642</v>
      </c>
      <c r="C96" s="32">
        <v>1040</v>
      </c>
      <c r="D96" s="32">
        <v>6</v>
      </c>
      <c r="E96" s="15">
        <f>INDEX(monster!$H$2:$H$617,MATCH(skill!C96,monster!$A$2:$A$617,0))</f>
        <v>58.78</v>
      </c>
      <c r="F96" s="15">
        <f>INDEX(monster!$I$2:$I$617,MATCH(C96,monster!$A$2:$A$617,0))</f>
        <v>1.76</v>
      </c>
      <c r="G96" s="15" t="b">
        <f t="shared" si="3"/>
        <v>1</v>
      </c>
      <c r="H96" s="32">
        <v>1</v>
      </c>
      <c r="I96" s="15">
        <f>IF(H96&gt;0,HLOOKUP(R96/100,数值规划表!$B$37:$AA$39,3),1)</f>
        <v>1.984</v>
      </c>
      <c r="J96" s="31" t="s">
        <v>1627</v>
      </c>
      <c r="K96" s="15">
        <f>INDEX(数值规划表!$B$15:$B$18,MATCH(J96,攻击范围,0))</f>
        <v>0.7</v>
      </c>
      <c r="L96" s="70">
        <v>0.75</v>
      </c>
      <c r="M96" s="41">
        <v>0</v>
      </c>
      <c r="N96" s="15">
        <f t="shared" si="4"/>
        <v>61</v>
      </c>
      <c r="O96" s="15">
        <f t="shared" si="5"/>
        <v>1.83</v>
      </c>
      <c r="P96" s="15">
        <f>IF(G96,INDEX(monster!$J$2:$J$606,MATCH(skill!C96,monster!$A$2:$A$606,0)),Q96)</f>
        <v>6.5</v>
      </c>
      <c r="Q96" s="70"/>
      <c r="R96" s="52">
        <v>160</v>
      </c>
    </row>
    <row r="97" spans="1:18" s="38" customFormat="1" x14ac:dyDescent="0.15">
      <c r="A97" s="32">
        <v>10096</v>
      </c>
      <c r="B97" s="32" t="s">
        <v>643</v>
      </c>
      <c r="C97" s="32">
        <v>1041</v>
      </c>
      <c r="D97" s="32">
        <v>7</v>
      </c>
      <c r="E97" s="15">
        <f>INDEX(monster!$H$2:$H$617,MATCH(skill!C97,monster!$A$2:$A$617,0))</f>
        <v>65.83</v>
      </c>
      <c r="F97" s="15">
        <f>INDEX(monster!$I$2:$I$617,MATCH(C97,monster!$A$2:$A$617,0))</f>
        <v>1.98</v>
      </c>
      <c r="G97" s="15" t="b">
        <f t="shared" si="3"/>
        <v>1</v>
      </c>
      <c r="H97" s="32">
        <v>1</v>
      </c>
      <c r="I97" s="15">
        <f>IF(H97&gt;0,HLOOKUP(R97/100,数值规划表!$B$37:$AA$39,3),1)</f>
        <v>1.984</v>
      </c>
      <c r="J97" s="31" t="s">
        <v>1627</v>
      </c>
      <c r="K97" s="15">
        <f>INDEX(数值规划表!$B$15:$B$18,MATCH(J97,攻击范围,0))</f>
        <v>0.7</v>
      </c>
      <c r="L97" s="70">
        <v>0.75</v>
      </c>
      <c r="M97" s="41">
        <v>0</v>
      </c>
      <c r="N97" s="15">
        <f t="shared" si="4"/>
        <v>69</v>
      </c>
      <c r="O97" s="15">
        <f t="shared" si="5"/>
        <v>2.06</v>
      </c>
      <c r="P97" s="15">
        <f>IF(G97,INDEX(monster!$J$2:$J$606,MATCH(skill!C97,monster!$A$2:$A$606,0)),Q97)</f>
        <v>6.5</v>
      </c>
      <c r="Q97" s="70"/>
      <c r="R97" s="52">
        <v>160</v>
      </c>
    </row>
    <row r="98" spans="1:18" s="38" customFormat="1" x14ac:dyDescent="0.15">
      <c r="A98" s="32">
        <v>10097</v>
      </c>
      <c r="B98" s="32" t="s">
        <v>644</v>
      </c>
      <c r="C98" s="32">
        <v>1042</v>
      </c>
      <c r="D98" s="32">
        <v>8</v>
      </c>
      <c r="E98" s="15">
        <f>INDEX(monster!$H$2:$H$617,MATCH(skill!C98,monster!$A$2:$A$617,0))</f>
        <v>73.73</v>
      </c>
      <c r="F98" s="15">
        <f>INDEX(monster!$I$2:$I$617,MATCH(C98,monster!$A$2:$A$617,0))</f>
        <v>2.21</v>
      </c>
      <c r="G98" s="15" t="b">
        <f t="shared" si="3"/>
        <v>1</v>
      </c>
      <c r="H98" s="32">
        <v>1</v>
      </c>
      <c r="I98" s="15">
        <f>IF(H98&gt;0,HLOOKUP(R98/100,数值规划表!$B$37:$AA$39,3),1)</f>
        <v>1.984</v>
      </c>
      <c r="J98" s="31" t="s">
        <v>1627</v>
      </c>
      <c r="K98" s="15">
        <f>INDEX(数值规划表!$B$15:$B$18,MATCH(J98,攻击范围,0))</f>
        <v>0.7</v>
      </c>
      <c r="L98" s="70">
        <v>0.75</v>
      </c>
      <c r="M98" s="41">
        <v>0</v>
      </c>
      <c r="N98" s="15">
        <f t="shared" si="4"/>
        <v>77</v>
      </c>
      <c r="O98" s="15">
        <f t="shared" si="5"/>
        <v>2.2999999999999998</v>
      </c>
      <c r="P98" s="15">
        <f>IF(G98,INDEX(monster!$J$2:$J$606,MATCH(skill!C98,monster!$A$2:$A$606,0)),Q98)</f>
        <v>6.5</v>
      </c>
      <c r="Q98" s="70"/>
      <c r="R98" s="52">
        <v>160</v>
      </c>
    </row>
    <row r="99" spans="1:18" s="38" customFormat="1" x14ac:dyDescent="0.15">
      <c r="A99" s="32">
        <v>10098</v>
      </c>
      <c r="B99" s="32" t="s">
        <v>645</v>
      </c>
      <c r="C99" s="32">
        <v>1043</v>
      </c>
      <c r="D99" s="32">
        <v>9</v>
      </c>
      <c r="E99" s="15">
        <f>INDEX(monster!$H$2:$H$617,MATCH(skill!C99,monster!$A$2:$A$617,0))</f>
        <v>82.58</v>
      </c>
      <c r="F99" s="15">
        <f>INDEX(monster!$I$2:$I$617,MATCH(C99,monster!$A$2:$A$617,0))</f>
        <v>2.48</v>
      </c>
      <c r="G99" s="15" t="b">
        <f t="shared" si="3"/>
        <v>1</v>
      </c>
      <c r="H99" s="32">
        <v>1</v>
      </c>
      <c r="I99" s="15">
        <f>IF(H99&gt;0,HLOOKUP(R99/100,数值规划表!$B$37:$AA$39,3),1)</f>
        <v>1.984</v>
      </c>
      <c r="J99" s="31" t="s">
        <v>1627</v>
      </c>
      <c r="K99" s="15">
        <f>INDEX(数值规划表!$B$15:$B$18,MATCH(J99,攻击范围,0))</f>
        <v>0.7</v>
      </c>
      <c r="L99" s="70">
        <v>0.75</v>
      </c>
      <c r="M99" s="41">
        <v>0</v>
      </c>
      <c r="N99" s="15">
        <f t="shared" si="4"/>
        <v>86</v>
      </c>
      <c r="O99" s="15">
        <f t="shared" si="5"/>
        <v>2.58</v>
      </c>
      <c r="P99" s="15">
        <f>IF(G99,INDEX(monster!$J$2:$J$606,MATCH(skill!C99,monster!$A$2:$A$606,0)),Q99)</f>
        <v>6.5</v>
      </c>
      <c r="Q99" s="70"/>
      <c r="R99" s="52">
        <v>160</v>
      </c>
    </row>
    <row r="100" spans="1:18" s="38" customFormat="1" x14ac:dyDescent="0.15">
      <c r="A100" s="32">
        <v>10099</v>
      </c>
      <c r="B100" s="32" t="s">
        <v>646</v>
      </c>
      <c r="C100" s="32">
        <v>1044</v>
      </c>
      <c r="D100" s="32">
        <v>10</v>
      </c>
      <c r="E100" s="15">
        <f>INDEX(monster!$H$2:$H$617,MATCH(skill!C100,monster!$A$2:$A$617,0))</f>
        <v>92.49</v>
      </c>
      <c r="F100" s="15">
        <f>INDEX(monster!$I$2:$I$617,MATCH(C100,monster!$A$2:$A$617,0))</f>
        <v>2.77</v>
      </c>
      <c r="G100" s="15" t="b">
        <f t="shared" si="3"/>
        <v>1</v>
      </c>
      <c r="H100" s="32">
        <v>1</v>
      </c>
      <c r="I100" s="15">
        <f>IF(H100&gt;0,HLOOKUP(R100/100,数值规划表!$B$37:$AA$39,3),1)</f>
        <v>1.984</v>
      </c>
      <c r="J100" s="31" t="s">
        <v>1627</v>
      </c>
      <c r="K100" s="15">
        <f>INDEX(数值规划表!$B$15:$B$18,MATCH(J100,攻击范围,0))</f>
        <v>0.7</v>
      </c>
      <c r="L100" s="70">
        <v>0.75</v>
      </c>
      <c r="M100" s="41">
        <v>0</v>
      </c>
      <c r="N100" s="15">
        <f t="shared" si="4"/>
        <v>96</v>
      </c>
      <c r="O100" s="15">
        <f t="shared" si="5"/>
        <v>2.89</v>
      </c>
      <c r="P100" s="15">
        <f>IF(G100,INDEX(monster!$J$2:$J$606,MATCH(skill!C100,monster!$A$2:$A$606,0)),Q100)</f>
        <v>6.5</v>
      </c>
      <c r="Q100" s="70"/>
      <c r="R100" s="52">
        <v>160</v>
      </c>
    </row>
    <row r="101" spans="1:18" s="38" customFormat="1" x14ac:dyDescent="0.15">
      <c r="A101" s="32">
        <v>10100</v>
      </c>
      <c r="B101" s="32" t="s">
        <v>2794</v>
      </c>
      <c r="C101" s="32">
        <v>1045</v>
      </c>
      <c r="D101" s="32">
        <v>0</v>
      </c>
      <c r="E101" s="15">
        <f>INDEX(monster!$H$2:$H$617,MATCH(skill!C101,monster!$A$2:$A$617,0))</f>
        <v>57.78</v>
      </c>
      <c r="F101" s="15">
        <f>INDEX(monster!$I$2:$I$617,MATCH(C101,monster!$A$2:$A$617,0))</f>
        <v>1.73</v>
      </c>
      <c r="G101" s="15" t="b">
        <f t="shared" si="3"/>
        <v>1</v>
      </c>
      <c r="H101" s="32">
        <v>1</v>
      </c>
      <c r="I101" s="15">
        <f>IF(H101&gt;0,HLOOKUP(R101/100,数值规划表!$B$37:$AA$39,3),1)</f>
        <v>1.984</v>
      </c>
      <c r="J101" s="31" t="s">
        <v>1625</v>
      </c>
      <c r="K101" s="15">
        <f>INDEX(数值规划表!$B$15:$B$18,MATCH(J101,攻击范围,0))</f>
        <v>1</v>
      </c>
      <c r="L101" s="68">
        <v>0.8</v>
      </c>
      <c r="M101" s="41">
        <v>0</v>
      </c>
      <c r="N101" s="15">
        <f t="shared" si="4"/>
        <v>92</v>
      </c>
      <c r="O101" s="15">
        <f t="shared" si="5"/>
        <v>2.75</v>
      </c>
      <c r="P101" s="15">
        <f>IF(G101,INDEX(monster!$J$2:$J$606,MATCH(skill!C101,monster!$A$2:$A$606,0)),Q101)</f>
        <v>6.5</v>
      </c>
      <c r="Q101" s="70"/>
      <c r="R101" s="52">
        <v>160</v>
      </c>
    </row>
    <row r="102" spans="1:18" s="38" customFormat="1" x14ac:dyDescent="0.15">
      <c r="A102" s="32">
        <v>10101</v>
      </c>
      <c r="B102" s="32" t="s">
        <v>2795</v>
      </c>
      <c r="C102" s="32">
        <v>1046</v>
      </c>
      <c r="D102" s="32">
        <v>1</v>
      </c>
      <c r="E102" s="15">
        <f>INDEX(monster!$H$2:$H$617,MATCH(skill!C102,monster!$A$2:$A$617,0))</f>
        <v>64.709999999999994</v>
      </c>
      <c r="F102" s="15">
        <f>INDEX(monster!$I$2:$I$617,MATCH(C102,monster!$A$2:$A$617,0))</f>
        <v>1.94</v>
      </c>
      <c r="G102" s="15" t="b">
        <f t="shared" si="3"/>
        <v>1</v>
      </c>
      <c r="H102" s="32">
        <v>1</v>
      </c>
      <c r="I102" s="15">
        <f>IF(H102&gt;0,HLOOKUP(R102/100,数值规划表!$B$37:$AA$39,3),1)</f>
        <v>1.984</v>
      </c>
      <c r="J102" s="31" t="s">
        <v>1625</v>
      </c>
      <c r="K102" s="15">
        <f>INDEX(数值规划表!$B$15:$B$18,MATCH(J102,攻击范围,0))</f>
        <v>1</v>
      </c>
      <c r="L102" s="70">
        <v>0.8</v>
      </c>
      <c r="M102" s="41">
        <v>0</v>
      </c>
      <c r="N102" s="15">
        <f t="shared" si="4"/>
        <v>103</v>
      </c>
      <c r="O102" s="15">
        <f t="shared" si="5"/>
        <v>3.08</v>
      </c>
      <c r="P102" s="15">
        <f>IF(G102,INDEX(monster!$J$2:$J$606,MATCH(skill!C102,monster!$A$2:$A$606,0)),Q102)</f>
        <v>6.5</v>
      </c>
      <c r="Q102" s="70"/>
      <c r="R102" s="52">
        <v>160</v>
      </c>
    </row>
    <row r="103" spans="1:18" s="38" customFormat="1" x14ac:dyDescent="0.15">
      <c r="A103" s="32">
        <v>10102</v>
      </c>
      <c r="B103" s="32" t="s">
        <v>647</v>
      </c>
      <c r="C103" s="32">
        <v>1047</v>
      </c>
      <c r="D103" s="32">
        <v>2</v>
      </c>
      <c r="E103" s="15">
        <f>INDEX(monster!$H$2:$H$617,MATCH(skill!C103,monster!$A$2:$A$617,0))</f>
        <v>72.48</v>
      </c>
      <c r="F103" s="15">
        <f>INDEX(monster!$I$2:$I$617,MATCH(C103,monster!$A$2:$A$617,0))</f>
        <v>2.17</v>
      </c>
      <c r="G103" s="15" t="b">
        <f t="shared" si="3"/>
        <v>1</v>
      </c>
      <c r="H103" s="32">
        <v>1</v>
      </c>
      <c r="I103" s="15">
        <f>IF(H103&gt;0,HLOOKUP(R103/100,数值规划表!$B$37:$AA$39,3),1)</f>
        <v>1.984</v>
      </c>
      <c r="J103" s="31" t="s">
        <v>1625</v>
      </c>
      <c r="K103" s="15">
        <f>INDEX(数值规划表!$B$15:$B$18,MATCH(J103,攻击范围,0))</f>
        <v>1</v>
      </c>
      <c r="L103" s="70">
        <v>0.8</v>
      </c>
      <c r="M103" s="41">
        <v>0</v>
      </c>
      <c r="N103" s="15">
        <f t="shared" si="4"/>
        <v>115</v>
      </c>
      <c r="O103" s="15">
        <f t="shared" si="5"/>
        <v>3.44</v>
      </c>
      <c r="P103" s="15">
        <f>IF(G103,INDEX(monster!$J$2:$J$606,MATCH(skill!C103,monster!$A$2:$A$606,0)),Q103)</f>
        <v>6.5</v>
      </c>
      <c r="Q103" s="70"/>
      <c r="R103" s="52">
        <v>160</v>
      </c>
    </row>
    <row r="104" spans="1:18" s="38" customFormat="1" x14ac:dyDescent="0.15">
      <c r="A104" s="32">
        <v>10103</v>
      </c>
      <c r="B104" s="32" t="s">
        <v>648</v>
      </c>
      <c r="C104" s="32">
        <v>1048</v>
      </c>
      <c r="D104" s="32">
        <v>3</v>
      </c>
      <c r="E104" s="15">
        <f>INDEX(monster!$H$2:$H$617,MATCH(skill!C104,monster!$A$2:$A$617,0))</f>
        <v>81.180000000000007</v>
      </c>
      <c r="F104" s="15">
        <f>INDEX(monster!$I$2:$I$617,MATCH(C104,monster!$A$2:$A$617,0))</f>
        <v>2.44</v>
      </c>
      <c r="G104" s="15" t="b">
        <f t="shared" si="3"/>
        <v>1</v>
      </c>
      <c r="H104" s="32">
        <v>1</v>
      </c>
      <c r="I104" s="15">
        <f>IF(H104&gt;0,HLOOKUP(R104/100,数值规划表!$B$37:$AA$39,3),1)</f>
        <v>1.984</v>
      </c>
      <c r="J104" s="31" t="s">
        <v>1625</v>
      </c>
      <c r="K104" s="15">
        <f>INDEX(数值规划表!$B$15:$B$18,MATCH(J104,攻击范围,0))</f>
        <v>1</v>
      </c>
      <c r="L104" s="70">
        <v>0.8</v>
      </c>
      <c r="M104" s="41">
        <v>0</v>
      </c>
      <c r="N104" s="15">
        <f t="shared" si="4"/>
        <v>129</v>
      </c>
      <c r="O104" s="15">
        <f t="shared" si="5"/>
        <v>3.87</v>
      </c>
      <c r="P104" s="15">
        <f>IF(G104,INDEX(monster!$J$2:$J$606,MATCH(skill!C104,monster!$A$2:$A$606,0)),Q104)</f>
        <v>6.5</v>
      </c>
      <c r="Q104" s="70"/>
      <c r="R104" s="52">
        <v>160</v>
      </c>
    </row>
    <row r="105" spans="1:18" s="38" customFormat="1" x14ac:dyDescent="0.15">
      <c r="A105" s="32">
        <v>10104</v>
      </c>
      <c r="B105" s="32" t="s">
        <v>649</v>
      </c>
      <c r="C105" s="32">
        <v>1049</v>
      </c>
      <c r="D105" s="32">
        <v>4</v>
      </c>
      <c r="E105" s="15">
        <f>INDEX(monster!$H$2:$H$617,MATCH(skill!C105,monster!$A$2:$A$617,0))</f>
        <v>90.92</v>
      </c>
      <c r="F105" s="15">
        <f>INDEX(monster!$I$2:$I$617,MATCH(C105,monster!$A$2:$A$617,0))</f>
        <v>2.73</v>
      </c>
      <c r="G105" s="15" t="b">
        <f t="shared" si="3"/>
        <v>1</v>
      </c>
      <c r="H105" s="32">
        <v>1</v>
      </c>
      <c r="I105" s="15">
        <f>IF(H105&gt;0,HLOOKUP(R105/100,数值规划表!$B$37:$AA$39,3),1)</f>
        <v>1.984</v>
      </c>
      <c r="J105" s="31" t="s">
        <v>1625</v>
      </c>
      <c r="K105" s="15">
        <f>INDEX(数值规划表!$B$15:$B$18,MATCH(J105,攻击范围,0))</f>
        <v>1</v>
      </c>
      <c r="L105" s="70">
        <v>0.8</v>
      </c>
      <c r="M105" s="41">
        <v>0</v>
      </c>
      <c r="N105" s="15">
        <f t="shared" si="4"/>
        <v>144</v>
      </c>
      <c r="O105" s="15">
        <f t="shared" si="5"/>
        <v>4.33</v>
      </c>
      <c r="P105" s="15">
        <f>IF(G105,INDEX(monster!$J$2:$J$606,MATCH(skill!C105,monster!$A$2:$A$606,0)),Q105)</f>
        <v>6.5</v>
      </c>
      <c r="Q105" s="70"/>
      <c r="R105" s="52">
        <v>160</v>
      </c>
    </row>
    <row r="106" spans="1:18" s="38" customFormat="1" x14ac:dyDescent="0.15">
      <c r="A106" s="32">
        <v>10105</v>
      </c>
      <c r="B106" s="32" t="s">
        <v>650</v>
      </c>
      <c r="C106" s="32">
        <v>1050</v>
      </c>
      <c r="D106" s="32">
        <v>5</v>
      </c>
      <c r="E106" s="15">
        <f>INDEX(monster!$H$2:$H$617,MATCH(skill!C106,monster!$A$2:$A$617,0))</f>
        <v>101.83</v>
      </c>
      <c r="F106" s="15">
        <f>INDEX(monster!$I$2:$I$617,MATCH(C106,monster!$A$2:$A$617,0))</f>
        <v>3.05</v>
      </c>
      <c r="G106" s="15" t="b">
        <f t="shared" si="3"/>
        <v>1</v>
      </c>
      <c r="H106" s="32">
        <v>1</v>
      </c>
      <c r="I106" s="15">
        <f>IF(H106&gt;0,HLOOKUP(R106/100,数值规划表!$B$37:$AA$39,3),1)</f>
        <v>1.984</v>
      </c>
      <c r="J106" s="31" t="s">
        <v>1625</v>
      </c>
      <c r="K106" s="15">
        <f>INDEX(数值规划表!$B$15:$B$18,MATCH(J106,攻击范围,0))</f>
        <v>1</v>
      </c>
      <c r="L106" s="70">
        <v>0.8</v>
      </c>
      <c r="M106" s="41">
        <v>0</v>
      </c>
      <c r="N106" s="15">
        <f t="shared" si="4"/>
        <v>162</v>
      </c>
      <c r="O106" s="15">
        <f t="shared" si="5"/>
        <v>4.84</v>
      </c>
      <c r="P106" s="15">
        <f>IF(G106,INDEX(monster!$J$2:$J$606,MATCH(skill!C106,monster!$A$2:$A$606,0)),Q106)</f>
        <v>6.5</v>
      </c>
      <c r="Q106" s="70"/>
      <c r="R106" s="52">
        <v>160</v>
      </c>
    </row>
    <row r="107" spans="1:18" s="38" customFormat="1" x14ac:dyDescent="0.15">
      <c r="A107" s="32">
        <v>10106</v>
      </c>
      <c r="B107" s="32" t="s">
        <v>651</v>
      </c>
      <c r="C107" s="32">
        <v>1051</v>
      </c>
      <c r="D107" s="32">
        <v>6</v>
      </c>
      <c r="E107" s="15">
        <f>INDEX(monster!$H$2:$H$617,MATCH(skill!C107,monster!$A$2:$A$617,0))</f>
        <v>114.05</v>
      </c>
      <c r="F107" s="15">
        <f>INDEX(monster!$I$2:$I$617,MATCH(C107,monster!$A$2:$A$617,0))</f>
        <v>3.42</v>
      </c>
      <c r="G107" s="15" t="b">
        <f t="shared" si="3"/>
        <v>1</v>
      </c>
      <c r="H107" s="32">
        <v>1</v>
      </c>
      <c r="I107" s="15">
        <f>IF(H107&gt;0,HLOOKUP(R107/100,数值规划表!$B$37:$AA$39,3),1)</f>
        <v>1.984</v>
      </c>
      <c r="J107" s="31" t="s">
        <v>1625</v>
      </c>
      <c r="K107" s="15">
        <f>INDEX(数值规划表!$B$15:$B$18,MATCH(J107,攻击范围,0))</f>
        <v>1</v>
      </c>
      <c r="L107" s="70">
        <v>0.8</v>
      </c>
      <c r="M107" s="41">
        <v>0</v>
      </c>
      <c r="N107" s="15">
        <f t="shared" si="4"/>
        <v>181</v>
      </c>
      <c r="O107" s="15">
        <f t="shared" si="5"/>
        <v>5.43</v>
      </c>
      <c r="P107" s="15">
        <f>IF(G107,INDEX(monster!$J$2:$J$606,MATCH(skill!C107,monster!$A$2:$A$606,0)),Q107)</f>
        <v>6.5</v>
      </c>
      <c r="Q107" s="70"/>
      <c r="R107" s="52">
        <v>160</v>
      </c>
    </row>
    <row r="108" spans="1:18" s="38" customFormat="1" x14ac:dyDescent="0.15">
      <c r="A108" s="32">
        <v>10107</v>
      </c>
      <c r="B108" s="32" t="s">
        <v>652</v>
      </c>
      <c r="C108" s="32">
        <v>1052</v>
      </c>
      <c r="D108" s="32">
        <v>7</v>
      </c>
      <c r="E108" s="15">
        <f>INDEX(monster!$H$2:$H$617,MATCH(skill!C108,monster!$A$2:$A$617,0))</f>
        <v>127.73</v>
      </c>
      <c r="F108" s="15">
        <f>INDEX(monster!$I$2:$I$617,MATCH(C108,monster!$A$2:$A$617,0))</f>
        <v>3.83</v>
      </c>
      <c r="G108" s="15" t="b">
        <f t="shared" si="3"/>
        <v>1</v>
      </c>
      <c r="H108" s="32">
        <v>1</v>
      </c>
      <c r="I108" s="15">
        <f>IF(H108&gt;0,HLOOKUP(R108/100,数值规划表!$B$37:$AA$39,3),1)</f>
        <v>1.984</v>
      </c>
      <c r="J108" s="31" t="s">
        <v>1625</v>
      </c>
      <c r="K108" s="15">
        <f>INDEX(数值规划表!$B$15:$B$18,MATCH(J108,攻击范围,0))</f>
        <v>1</v>
      </c>
      <c r="L108" s="70">
        <v>0.8</v>
      </c>
      <c r="M108" s="41">
        <v>0</v>
      </c>
      <c r="N108" s="15">
        <f t="shared" si="4"/>
        <v>203</v>
      </c>
      <c r="O108" s="15">
        <f t="shared" si="5"/>
        <v>6.08</v>
      </c>
      <c r="P108" s="15">
        <f>IF(G108,INDEX(monster!$J$2:$J$606,MATCH(skill!C108,monster!$A$2:$A$606,0)),Q108)</f>
        <v>6.5</v>
      </c>
      <c r="Q108" s="70"/>
      <c r="R108" s="52">
        <v>160</v>
      </c>
    </row>
    <row r="109" spans="1:18" s="38" customFormat="1" x14ac:dyDescent="0.15">
      <c r="A109" s="32">
        <v>10108</v>
      </c>
      <c r="B109" s="32" t="s">
        <v>653</v>
      </c>
      <c r="C109" s="32">
        <v>1053</v>
      </c>
      <c r="D109" s="32">
        <v>8</v>
      </c>
      <c r="E109" s="15">
        <f>INDEX(monster!$H$2:$H$617,MATCH(skill!C109,monster!$A$2:$A$617,0))</f>
        <v>143.06</v>
      </c>
      <c r="F109" s="15">
        <f>INDEX(monster!$I$2:$I$617,MATCH(C109,monster!$A$2:$A$617,0))</f>
        <v>4.29</v>
      </c>
      <c r="G109" s="15" t="b">
        <f t="shared" si="3"/>
        <v>1</v>
      </c>
      <c r="H109" s="32">
        <v>1</v>
      </c>
      <c r="I109" s="15">
        <f>IF(H109&gt;0,HLOOKUP(R109/100,数值规划表!$B$37:$AA$39,3),1)</f>
        <v>1.984</v>
      </c>
      <c r="J109" s="31" t="s">
        <v>1625</v>
      </c>
      <c r="K109" s="15">
        <f>INDEX(数值规划表!$B$15:$B$18,MATCH(J109,攻击范围,0))</f>
        <v>1</v>
      </c>
      <c r="L109" s="70">
        <v>0.8</v>
      </c>
      <c r="M109" s="41">
        <v>0</v>
      </c>
      <c r="N109" s="15">
        <f t="shared" si="4"/>
        <v>227</v>
      </c>
      <c r="O109" s="15">
        <f t="shared" si="5"/>
        <v>6.81</v>
      </c>
      <c r="P109" s="15">
        <f>IF(G109,INDEX(monster!$J$2:$J$606,MATCH(skill!C109,monster!$A$2:$A$606,0)),Q109)</f>
        <v>6.5</v>
      </c>
      <c r="Q109" s="70"/>
      <c r="R109" s="52">
        <v>160</v>
      </c>
    </row>
    <row r="110" spans="1:18" s="38" customFormat="1" x14ac:dyDescent="0.15">
      <c r="A110" s="32">
        <v>10109</v>
      </c>
      <c r="B110" s="32" t="s">
        <v>654</v>
      </c>
      <c r="C110" s="32">
        <v>1054</v>
      </c>
      <c r="D110" s="32">
        <v>9</v>
      </c>
      <c r="E110" s="15">
        <f>INDEX(monster!$H$2:$H$617,MATCH(skill!C110,monster!$A$2:$A$617,0))</f>
        <v>160.22999999999999</v>
      </c>
      <c r="F110" s="15">
        <f>INDEX(monster!$I$2:$I$617,MATCH(C110,monster!$A$2:$A$617,0))</f>
        <v>4.8099999999999996</v>
      </c>
      <c r="G110" s="15" t="b">
        <f t="shared" si="3"/>
        <v>1</v>
      </c>
      <c r="H110" s="32">
        <v>1</v>
      </c>
      <c r="I110" s="15">
        <f>IF(H110&gt;0,HLOOKUP(R110/100,数值规划表!$B$37:$AA$39,3),1)</f>
        <v>1.984</v>
      </c>
      <c r="J110" s="31" t="s">
        <v>1625</v>
      </c>
      <c r="K110" s="15">
        <f>INDEX(数值规划表!$B$15:$B$18,MATCH(J110,攻击范围,0))</f>
        <v>1</v>
      </c>
      <c r="L110" s="70">
        <v>0.8</v>
      </c>
      <c r="M110" s="41">
        <v>0</v>
      </c>
      <c r="N110" s="15">
        <f t="shared" si="4"/>
        <v>254</v>
      </c>
      <c r="O110" s="15">
        <f t="shared" si="5"/>
        <v>7.63</v>
      </c>
      <c r="P110" s="15">
        <f>IF(G110,INDEX(monster!$J$2:$J$606,MATCH(skill!C110,monster!$A$2:$A$606,0)),Q110)</f>
        <v>6.5</v>
      </c>
      <c r="Q110" s="70"/>
      <c r="R110" s="52">
        <v>160</v>
      </c>
    </row>
    <row r="111" spans="1:18" s="38" customFormat="1" x14ac:dyDescent="0.15">
      <c r="A111" s="32">
        <v>10110</v>
      </c>
      <c r="B111" s="32" t="s">
        <v>655</v>
      </c>
      <c r="C111" s="32">
        <v>1055</v>
      </c>
      <c r="D111" s="32">
        <v>10</v>
      </c>
      <c r="E111" s="15">
        <f>INDEX(monster!$H$2:$H$617,MATCH(skill!C111,monster!$A$2:$A$617,0))</f>
        <v>179.46</v>
      </c>
      <c r="F111" s="15">
        <f>INDEX(monster!$I$2:$I$617,MATCH(C111,monster!$A$2:$A$617,0))</f>
        <v>5.38</v>
      </c>
      <c r="G111" s="15" t="b">
        <f t="shared" si="3"/>
        <v>1</v>
      </c>
      <c r="H111" s="32">
        <v>1</v>
      </c>
      <c r="I111" s="15">
        <f>IF(H111&gt;0,HLOOKUP(R111/100,数值规划表!$B$37:$AA$39,3),1)</f>
        <v>1.984</v>
      </c>
      <c r="J111" s="31" t="s">
        <v>1625</v>
      </c>
      <c r="K111" s="15">
        <f>INDEX(数值规划表!$B$15:$B$18,MATCH(J111,攻击范围,0))</f>
        <v>1</v>
      </c>
      <c r="L111" s="70">
        <v>0.8</v>
      </c>
      <c r="M111" s="41">
        <v>0</v>
      </c>
      <c r="N111" s="15">
        <f t="shared" si="4"/>
        <v>285</v>
      </c>
      <c r="O111" s="15">
        <f t="shared" si="5"/>
        <v>8.5399999999999991</v>
      </c>
      <c r="P111" s="15">
        <f>IF(G111,INDEX(monster!$J$2:$J$606,MATCH(skill!C111,monster!$A$2:$A$606,0)),Q111)</f>
        <v>6.5</v>
      </c>
      <c r="Q111" s="70"/>
      <c r="R111" s="52">
        <v>160</v>
      </c>
    </row>
    <row r="112" spans="1:18" s="38" customFormat="1" x14ac:dyDescent="0.15">
      <c r="A112" s="32">
        <v>10111</v>
      </c>
      <c r="B112" s="32" t="s">
        <v>2796</v>
      </c>
      <c r="C112" s="32">
        <v>1056</v>
      </c>
      <c r="D112" s="32">
        <v>0</v>
      </c>
      <c r="E112" s="15">
        <f>INDEX(monster!$H$2:$H$617,MATCH(skill!C112,monster!$A$2:$A$617,0))</f>
        <v>35.700000000000003</v>
      </c>
      <c r="F112" s="15">
        <f>INDEX(monster!$I$2:$I$617,MATCH(C112,monster!$A$2:$A$617,0))</f>
        <v>1.07</v>
      </c>
      <c r="G112" s="15" t="b">
        <f t="shared" si="3"/>
        <v>1</v>
      </c>
      <c r="H112" s="32">
        <v>1</v>
      </c>
      <c r="I112" s="15">
        <f>IF(H112&gt;0,HLOOKUP(R112/100,数值规划表!$B$37:$AA$39,3),1)</f>
        <v>2.8</v>
      </c>
      <c r="J112" s="31" t="s">
        <v>1625</v>
      </c>
      <c r="K112" s="15">
        <f>INDEX(数值规划表!$B$15:$B$18,MATCH(J112,攻击范围,0))</f>
        <v>1</v>
      </c>
      <c r="L112" s="70">
        <v>0.4</v>
      </c>
      <c r="M112" s="41">
        <v>0</v>
      </c>
      <c r="N112" s="15">
        <f t="shared" si="4"/>
        <v>40</v>
      </c>
      <c r="O112" s="15">
        <f t="shared" si="5"/>
        <v>1.2</v>
      </c>
      <c r="P112" s="15">
        <f>IF(G112,INDEX(monster!$J$2:$J$606,MATCH(skill!C112,monster!$A$2:$A$606,0)),Q112)</f>
        <v>1.5</v>
      </c>
      <c r="Q112" s="70"/>
      <c r="R112" s="33">
        <v>200</v>
      </c>
    </row>
    <row r="113" spans="1:18" s="38" customFormat="1" x14ac:dyDescent="0.15">
      <c r="A113" s="32">
        <v>10112</v>
      </c>
      <c r="B113" s="32" t="s">
        <v>2797</v>
      </c>
      <c r="C113" s="32">
        <v>1057</v>
      </c>
      <c r="D113" s="32">
        <v>1</v>
      </c>
      <c r="E113" s="15">
        <f>INDEX(monster!$H$2:$H$617,MATCH(skill!C113,monster!$A$2:$A$617,0))</f>
        <v>39.979999999999997</v>
      </c>
      <c r="F113" s="15">
        <f>INDEX(monster!$I$2:$I$617,MATCH(C113,monster!$A$2:$A$617,0))</f>
        <v>1.2</v>
      </c>
      <c r="G113" s="15" t="b">
        <f t="shared" si="3"/>
        <v>1</v>
      </c>
      <c r="H113" s="32">
        <v>1</v>
      </c>
      <c r="I113" s="15">
        <f>IF(H113&gt;0,HLOOKUP(R113/100,数值规划表!$B$37:$AA$39,3),1)</f>
        <v>2.8</v>
      </c>
      <c r="J113" s="31" t="s">
        <v>1625</v>
      </c>
      <c r="K113" s="15">
        <f>INDEX(数值规划表!$B$15:$B$18,MATCH(J113,攻击范围,0))</f>
        <v>1</v>
      </c>
      <c r="L113" s="70">
        <v>0.4</v>
      </c>
      <c r="M113" s="41">
        <v>0</v>
      </c>
      <c r="N113" s="15">
        <f t="shared" si="4"/>
        <v>45</v>
      </c>
      <c r="O113" s="15">
        <f t="shared" si="5"/>
        <v>1.34</v>
      </c>
      <c r="P113" s="15">
        <f>IF(G113,INDEX(monster!$J$2:$J$606,MATCH(skill!C113,monster!$A$2:$A$606,0)),Q113)</f>
        <v>1.5</v>
      </c>
      <c r="Q113" s="70"/>
      <c r="R113" s="33">
        <v>200</v>
      </c>
    </row>
    <row r="114" spans="1:18" s="38" customFormat="1" x14ac:dyDescent="0.15">
      <c r="A114" s="32">
        <v>10113</v>
      </c>
      <c r="B114" s="32" t="s">
        <v>656</v>
      </c>
      <c r="C114" s="32">
        <v>1058</v>
      </c>
      <c r="D114" s="32">
        <v>2</v>
      </c>
      <c r="E114" s="15">
        <f>INDEX(monster!$H$2:$H$617,MATCH(skill!C114,monster!$A$2:$A$617,0))</f>
        <v>44.78</v>
      </c>
      <c r="F114" s="15">
        <f>INDEX(monster!$I$2:$I$617,MATCH(C114,monster!$A$2:$A$617,0))</f>
        <v>1.34</v>
      </c>
      <c r="G114" s="15" t="b">
        <f t="shared" si="3"/>
        <v>1</v>
      </c>
      <c r="H114" s="32">
        <v>1</v>
      </c>
      <c r="I114" s="15">
        <f>IF(H114&gt;0,HLOOKUP(R114/100,数值规划表!$B$37:$AA$39,3),1)</f>
        <v>2.8</v>
      </c>
      <c r="J114" s="31" t="s">
        <v>1625</v>
      </c>
      <c r="K114" s="15">
        <f>INDEX(数值规划表!$B$15:$B$18,MATCH(J114,攻击范围,0))</f>
        <v>1</v>
      </c>
      <c r="L114" s="70">
        <v>0.4</v>
      </c>
      <c r="M114" s="41">
        <v>0</v>
      </c>
      <c r="N114" s="15">
        <f t="shared" si="4"/>
        <v>50</v>
      </c>
      <c r="O114" s="15">
        <f t="shared" si="5"/>
        <v>1.5</v>
      </c>
      <c r="P114" s="15">
        <f>IF(G114,INDEX(monster!$J$2:$J$606,MATCH(skill!C114,monster!$A$2:$A$606,0)),Q114)</f>
        <v>1.5</v>
      </c>
      <c r="Q114" s="70"/>
      <c r="R114" s="33">
        <v>200</v>
      </c>
    </row>
    <row r="115" spans="1:18" s="38" customFormat="1" x14ac:dyDescent="0.15">
      <c r="A115" s="32">
        <v>10114</v>
      </c>
      <c r="B115" s="32" t="s">
        <v>657</v>
      </c>
      <c r="C115" s="32">
        <v>1059</v>
      </c>
      <c r="D115" s="32">
        <v>3</v>
      </c>
      <c r="E115" s="15">
        <f>INDEX(monster!$H$2:$H$617,MATCH(skill!C115,monster!$A$2:$A$617,0))</f>
        <v>50.16</v>
      </c>
      <c r="F115" s="15">
        <f>INDEX(monster!$I$2:$I$617,MATCH(C115,monster!$A$2:$A$617,0))</f>
        <v>1.5</v>
      </c>
      <c r="G115" s="15" t="b">
        <f t="shared" si="3"/>
        <v>1</v>
      </c>
      <c r="H115" s="32">
        <v>1</v>
      </c>
      <c r="I115" s="15">
        <f>IF(H115&gt;0,HLOOKUP(R115/100,数值规划表!$B$37:$AA$39,3),1)</f>
        <v>2.8</v>
      </c>
      <c r="J115" s="31" t="s">
        <v>1625</v>
      </c>
      <c r="K115" s="15">
        <f>INDEX(数值规划表!$B$15:$B$18,MATCH(J115,攻击范围,0))</f>
        <v>1</v>
      </c>
      <c r="L115" s="70">
        <v>0.4</v>
      </c>
      <c r="M115" s="41">
        <v>0</v>
      </c>
      <c r="N115" s="15">
        <f t="shared" si="4"/>
        <v>56</v>
      </c>
      <c r="O115" s="15">
        <f t="shared" si="5"/>
        <v>1.68</v>
      </c>
      <c r="P115" s="15">
        <f>IF(G115,INDEX(monster!$J$2:$J$606,MATCH(skill!C115,monster!$A$2:$A$606,0)),Q115)</f>
        <v>1.5</v>
      </c>
      <c r="Q115" s="70"/>
      <c r="R115" s="33">
        <v>200</v>
      </c>
    </row>
    <row r="116" spans="1:18" s="38" customFormat="1" x14ac:dyDescent="0.15">
      <c r="A116" s="32">
        <v>10115</v>
      </c>
      <c r="B116" s="32" t="s">
        <v>658</v>
      </c>
      <c r="C116" s="32">
        <v>1060</v>
      </c>
      <c r="D116" s="32">
        <v>4</v>
      </c>
      <c r="E116" s="15">
        <f>INDEX(monster!$H$2:$H$617,MATCH(skill!C116,monster!$A$2:$A$617,0))</f>
        <v>56.17</v>
      </c>
      <c r="F116" s="15">
        <f>INDEX(monster!$I$2:$I$617,MATCH(C116,monster!$A$2:$A$617,0))</f>
        <v>1.69</v>
      </c>
      <c r="G116" s="15" t="b">
        <f t="shared" si="3"/>
        <v>1</v>
      </c>
      <c r="H116" s="32">
        <v>1</v>
      </c>
      <c r="I116" s="15">
        <f>IF(H116&gt;0,HLOOKUP(R116/100,数值规划表!$B$37:$AA$39,3),1)</f>
        <v>2.8</v>
      </c>
      <c r="J116" s="31" t="s">
        <v>1625</v>
      </c>
      <c r="K116" s="15">
        <f>INDEX(数值规划表!$B$15:$B$18,MATCH(J116,攻击范围,0))</f>
        <v>1</v>
      </c>
      <c r="L116" s="70">
        <v>0.4</v>
      </c>
      <c r="M116" s="41">
        <v>0</v>
      </c>
      <c r="N116" s="15">
        <f t="shared" si="4"/>
        <v>63</v>
      </c>
      <c r="O116" s="15">
        <f t="shared" si="5"/>
        <v>1.89</v>
      </c>
      <c r="P116" s="15">
        <f>IF(G116,INDEX(monster!$J$2:$J$606,MATCH(skill!C116,monster!$A$2:$A$606,0)),Q116)</f>
        <v>1.5</v>
      </c>
      <c r="Q116" s="70"/>
      <c r="R116" s="33">
        <v>200</v>
      </c>
    </row>
    <row r="117" spans="1:18" s="38" customFormat="1" x14ac:dyDescent="0.15">
      <c r="A117" s="32">
        <v>10116</v>
      </c>
      <c r="B117" s="32" t="s">
        <v>659</v>
      </c>
      <c r="C117" s="32">
        <v>1061</v>
      </c>
      <c r="D117" s="32">
        <v>5</v>
      </c>
      <c r="E117" s="15">
        <f>INDEX(monster!$H$2:$H$617,MATCH(skill!C117,monster!$A$2:$A$617,0))</f>
        <v>62.92</v>
      </c>
      <c r="F117" s="15">
        <f>INDEX(monster!$I$2:$I$617,MATCH(C117,monster!$A$2:$A$617,0))</f>
        <v>1.89</v>
      </c>
      <c r="G117" s="15" t="b">
        <f t="shared" si="3"/>
        <v>1</v>
      </c>
      <c r="H117" s="32">
        <v>1</v>
      </c>
      <c r="I117" s="15">
        <f>IF(H117&gt;0,HLOOKUP(R117/100,数值规划表!$B$37:$AA$39,3),1)</f>
        <v>2.8</v>
      </c>
      <c r="J117" s="31" t="s">
        <v>1625</v>
      </c>
      <c r="K117" s="15">
        <f>INDEX(数值规划表!$B$15:$B$18,MATCH(J117,攻击范围,0))</f>
        <v>1</v>
      </c>
      <c r="L117" s="70">
        <v>0.4</v>
      </c>
      <c r="M117" s="41">
        <v>0</v>
      </c>
      <c r="N117" s="15">
        <f t="shared" si="4"/>
        <v>70</v>
      </c>
      <c r="O117" s="15">
        <f t="shared" si="5"/>
        <v>2.12</v>
      </c>
      <c r="P117" s="15">
        <f>IF(G117,INDEX(monster!$J$2:$J$606,MATCH(skill!C117,monster!$A$2:$A$606,0)),Q117)</f>
        <v>1.5</v>
      </c>
      <c r="Q117" s="70"/>
      <c r="R117" s="33">
        <v>200</v>
      </c>
    </row>
    <row r="118" spans="1:18" s="38" customFormat="1" x14ac:dyDescent="0.15">
      <c r="A118" s="32">
        <v>10117</v>
      </c>
      <c r="B118" s="32" t="s">
        <v>660</v>
      </c>
      <c r="C118" s="32">
        <v>1062</v>
      </c>
      <c r="D118" s="32">
        <v>6</v>
      </c>
      <c r="E118" s="15">
        <f>INDEX(monster!$H$2:$H$617,MATCH(skill!C118,monster!$A$2:$A$617,0))</f>
        <v>70.47</v>
      </c>
      <c r="F118" s="15">
        <f>INDEX(monster!$I$2:$I$617,MATCH(C118,monster!$A$2:$A$617,0))</f>
        <v>2.11</v>
      </c>
      <c r="G118" s="15" t="b">
        <f t="shared" si="3"/>
        <v>1</v>
      </c>
      <c r="H118" s="32">
        <v>1</v>
      </c>
      <c r="I118" s="15">
        <f>IF(H118&gt;0,HLOOKUP(R118/100,数值规划表!$B$37:$AA$39,3),1)</f>
        <v>2.8</v>
      </c>
      <c r="J118" s="31" t="s">
        <v>1625</v>
      </c>
      <c r="K118" s="15">
        <f>INDEX(数值规划表!$B$15:$B$18,MATCH(J118,攻击范围,0))</f>
        <v>1</v>
      </c>
      <c r="L118" s="70">
        <v>0.4</v>
      </c>
      <c r="M118" s="41">
        <v>0</v>
      </c>
      <c r="N118" s="15">
        <f t="shared" si="4"/>
        <v>79</v>
      </c>
      <c r="O118" s="15">
        <f t="shared" si="5"/>
        <v>2.36</v>
      </c>
      <c r="P118" s="15">
        <f>IF(G118,INDEX(monster!$J$2:$J$606,MATCH(skill!C118,monster!$A$2:$A$606,0)),Q118)</f>
        <v>1.5</v>
      </c>
      <c r="Q118" s="70"/>
      <c r="R118" s="33">
        <v>200</v>
      </c>
    </row>
    <row r="119" spans="1:18" s="38" customFormat="1" x14ac:dyDescent="0.15">
      <c r="A119" s="32">
        <v>10118</v>
      </c>
      <c r="B119" s="32" t="s">
        <v>661</v>
      </c>
      <c r="C119" s="32">
        <v>1063</v>
      </c>
      <c r="D119" s="32">
        <v>7</v>
      </c>
      <c r="E119" s="15">
        <f>INDEX(monster!$H$2:$H$617,MATCH(skill!C119,monster!$A$2:$A$617,0))</f>
        <v>78.92</v>
      </c>
      <c r="F119" s="15">
        <f>INDEX(monster!$I$2:$I$617,MATCH(C119,monster!$A$2:$A$617,0))</f>
        <v>2.37</v>
      </c>
      <c r="G119" s="15" t="b">
        <f t="shared" si="3"/>
        <v>1</v>
      </c>
      <c r="H119" s="32">
        <v>1</v>
      </c>
      <c r="I119" s="15">
        <f>IF(H119&gt;0,HLOOKUP(R119/100,数值规划表!$B$37:$AA$39,3),1)</f>
        <v>2.8</v>
      </c>
      <c r="J119" s="31" t="s">
        <v>1625</v>
      </c>
      <c r="K119" s="15">
        <f>INDEX(数值规划表!$B$15:$B$18,MATCH(J119,攻击范围,0))</f>
        <v>1</v>
      </c>
      <c r="L119" s="70">
        <v>0.4</v>
      </c>
      <c r="M119" s="41">
        <v>0</v>
      </c>
      <c r="N119" s="15">
        <f t="shared" si="4"/>
        <v>88</v>
      </c>
      <c r="O119" s="15">
        <f t="shared" si="5"/>
        <v>2.65</v>
      </c>
      <c r="P119" s="15">
        <f>IF(G119,INDEX(monster!$J$2:$J$606,MATCH(skill!C119,monster!$A$2:$A$606,0)),Q119)</f>
        <v>1.5</v>
      </c>
      <c r="Q119" s="70"/>
      <c r="R119" s="33">
        <v>200</v>
      </c>
    </row>
    <row r="120" spans="1:18" s="38" customFormat="1" x14ac:dyDescent="0.15">
      <c r="A120" s="32">
        <v>10119</v>
      </c>
      <c r="B120" s="32" t="s">
        <v>662</v>
      </c>
      <c r="C120" s="32">
        <v>1064</v>
      </c>
      <c r="D120" s="32">
        <v>8</v>
      </c>
      <c r="E120" s="15">
        <f>INDEX(monster!$H$2:$H$617,MATCH(skill!C120,monster!$A$2:$A$617,0))</f>
        <v>88.39</v>
      </c>
      <c r="F120" s="15">
        <f>INDEX(monster!$I$2:$I$617,MATCH(C120,monster!$A$2:$A$617,0))</f>
        <v>2.65</v>
      </c>
      <c r="G120" s="15" t="b">
        <f t="shared" si="3"/>
        <v>1</v>
      </c>
      <c r="H120" s="32">
        <v>1</v>
      </c>
      <c r="I120" s="15">
        <f>IF(H120&gt;0,HLOOKUP(R120/100,数值规划表!$B$37:$AA$39,3),1)</f>
        <v>2.8</v>
      </c>
      <c r="J120" s="31" t="s">
        <v>1625</v>
      </c>
      <c r="K120" s="15">
        <f>INDEX(数值规划表!$B$15:$B$18,MATCH(J120,攻击范围,0))</f>
        <v>1</v>
      </c>
      <c r="L120" s="70">
        <v>0.4</v>
      </c>
      <c r="M120" s="41">
        <v>0</v>
      </c>
      <c r="N120" s="15">
        <f t="shared" si="4"/>
        <v>99</v>
      </c>
      <c r="O120" s="15">
        <f t="shared" si="5"/>
        <v>2.97</v>
      </c>
      <c r="P120" s="15">
        <f>IF(G120,INDEX(monster!$J$2:$J$606,MATCH(skill!C120,monster!$A$2:$A$606,0)),Q120)</f>
        <v>1.5</v>
      </c>
      <c r="Q120" s="70"/>
      <c r="R120" s="33">
        <v>200</v>
      </c>
    </row>
    <row r="121" spans="1:18" s="38" customFormat="1" x14ac:dyDescent="0.15">
      <c r="A121" s="32">
        <v>10120</v>
      </c>
      <c r="B121" s="32" t="s">
        <v>663</v>
      </c>
      <c r="C121" s="32">
        <v>1065</v>
      </c>
      <c r="D121" s="32">
        <v>9</v>
      </c>
      <c r="E121" s="15">
        <f>INDEX(monster!$H$2:$H$617,MATCH(skill!C121,monster!$A$2:$A$617,0))</f>
        <v>99</v>
      </c>
      <c r="F121" s="15">
        <f>INDEX(monster!$I$2:$I$617,MATCH(C121,monster!$A$2:$A$617,0))</f>
        <v>2.97</v>
      </c>
      <c r="G121" s="15" t="b">
        <f t="shared" si="3"/>
        <v>1</v>
      </c>
      <c r="H121" s="32">
        <v>1</v>
      </c>
      <c r="I121" s="15">
        <f>IF(H121&gt;0,HLOOKUP(R121/100,数值规划表!$B$37:$AA$39,3),1)</f>
        <v>2.8</v>
      </c>
      <c r="J121" s="31" t="s">
        <v>1625</v>
      </c>
      <c r="K121" s="15">
        <f>INDEX(数值规划表!$B$15:$B$18,MATCH(J121,攻击范围,0))</f>
        <v>1</v>
      </c>
      <c r="L121" s="70">
        <v>0.4</v>
      </c>
      <c r="M121" s="41">
        <v>0</v>
      </c>
      <c r="N121" s="15">
        <f t="shared" si="4"/>
        <v>111</v>
      </c>
      <c r="O121" s="15">
        <f t="shared" si="5"/>
        <v>3.33</v>
      </c>
      <c r="P121" s="15">
        <f>IF(G121,INDEX(monster!$J$2:$J$606,MATCH(skill!C121,monster!$A$2:$A$606,0)),Q121)</f>
        <v>1.5</v>
      </c>
      <c r="Q121" s="70"/>
      <c r="R121" s="33">
        <v>200</v>
      </c>
    </row>
    <row r="122" spans="1:18" s="38" customFormat="1" x14ac:dyDescent="0.15">
      <c r="A122" s="32">
        <v>10121</v>
      </c>
      <c r="B122" s="32" t="s">
        <v>664</v>
      </c>
      <c r="C122" s="32">
        <v>1066</v>
      </c>
      <c r="D122" s="32">
        <v>10</v>
      </c>
      <c r="E122" s="15">
        <f>INDEX(monster!$H$2:$H$617,MATCH(skill!C122,monster!$A$2:$A$617,0))</f>
        <v>110.88</v>
      </c>
      <c r="F122" s="15">
        <f>INDEX(monster!$I$2:$I$617,MATCH(C122,monster!$A$2:$A$617,0))</f>
        <v>3.33</v>
      </c>
      <c r="G122" s="15" t="b">
        <f t="shared" si="3"/>
        <v>1</v>
      </c>
      <c r="H122" s="32">
        <v>1</v>
      </c>
      <c r="I122" s="15">
        <f>IF(H122&gt;0,HLOOKUP(R122/100,数值规划表!$B$37:$AA$39,3),1)</f>
        <v>2.8</v>
      </c>
      <c r="J122" s="31" t="s">
        <v>1625</v>
      </c>
      <c r="K122" s="15">
        <f>INDEX(数值规划表!$B$15:$B$18,MATCH(J122,攻击范围,0))</f>
        <v>1</v>
      </c>
      <c r="L122" s="70">
        <v>0.4</v>
      </c>
      <c r="M122" s="41">
        <v>0</v>
      </c>
      <c r="N122" s="15">
        <f t="shared" si="4"/>
        <v>124</v>
      </c>
      <c r="O122" s="15">
        <f t="shared" si="5"/>
        <v>3.73</v>
      </c>
      <c r="P122" s="15">
        <f>IF(G122,INDEX(monster!$J$2:$J$606,MATCH(skill!C122,monster!$A$2:$A$606,0)),Q122)</f>
        <v>1.5</v>
      </c>
      <c r="Q122" s="70"/>
      <c r="R122" s="33">
        <v>200</v>
      </c>
    </row>
    <row r="123" spans="1:18" s="38" customFormat="1" x14ac:dyDescent="0.15">
      <c r="A123" s="32">
        <v>10122</v>
      </c>
      <c r="B123" s="32" t="s">
        <v>2798</v>
      </c>
      <c r="C123" s="32">
        <v>1067</v>
      </c>
      <c r="D123" s="32">
        <v>0</v>
      </c>
      <c r="E123" s="15">
        <f>INDEX(monster!$H$2:$H$617,MATCH(skill!C123,monster!$A$2:$A$617,0))</f>
        <v>42.01</v>
      </c>
      <c r="F123" s="15">
        <f>INDEX(monster!$I$2:$I$617,MATCH(C123,monster!$A$2:$A$617,0))</f>
        <v>1.26</v>
      </c>
      <c r="G123" s="15" t="b">
        <f t="shared" si="3"/>
        <v>1</v>
      </c>
      <c r="H123" s="32">
        <v>1</v>
      </c>
      <c r="I123" s="15">
        <f>IF(H123&gt;0,HLOOKUP(R123/100,数值规划表!$B$37:$AA$39,3),1)</f>
        <v>1.4560000000000002</v>
      </c>
      <c r="J123" s="31" t="s">
        <v>1625</v>
      </c>
      <c r="K123" s="15">
        <f>INDEX(数值规划表!$B$15:$B$18,MATCH(J123,攻击范围,0))</f>
        <v>1</v>
      </c>
      <c r="L123" s="30">
        <v>0.3</v>
      </c>
      <c r="M123" s="41">
        <v>0</v>
      </c>
      <c r="N123" s="15">
        <f t="shared" si="4"/>
        <v>18</v>
      </c>
      <c r="O123" s="15">
        <f t="shared" si="5"/>
        <v>0.55000000000000004</v>
      </c>
      <c r="P123" s="15">
        <f>IF(G123,INDEX(monster!$J$2:$J$606,MATCH(skill!C123,monster!$A$2:$A$606,0)),Q123)</f>
        <v>1.2</v>
      </c>
      <c r="Q123" s="70"/>
      <c r="R123" s="33">
        <v>130</v>
      </c>
    </row>
    <row r="124" spans="1:18" s="38" customFormat="1" x14ac:dyDescent="0.15">
      <c r="A124" s="32">
        <v>10123</v>
      </c>
      <c r="B124" s="32" t="s">
        <v>2799</v>
      </c>
      <c r="C124" s="32">
        <v>1068</v>
      </c>
      <c r="D124" s="32">
        <v>1</v>
      </c>
      <c r="E124" s="15">
        <f>INDEX(monster!$H$2:$H$617,MATCH(skill!C124,monster!$A$2:$A$617,0))</f>
        <v>47.05</v>
      </c>
      <c r="F124" s="15">
        <f>INDEX(monster!$I$2:$I$617,MATCH(C124,monster!$A$2:$A$617,0))</f>
        <v>1.41</v>
      </c>
      <c r="G124" s="15" t="b">
        <f t="shared" si="3"/>
        <v>1</v>
      </c>
      <c r="H124" s="32">
        <v>1</v>
      </c>
      <c r="I124" s="15">
        <f>IF(H124&gt;0,HLOOKUP(R124/100,数值规划表!$B$37:$AA$39,3),1)</f>
        <v>1.4560000000000002</v>
      </c>
      <c r="J124" s="31" t="s">
        <v>1625</v>
      </c>
      <c r="K124" s="15">
        <f>INDEX(数值规划表!$B$15:$B$18,MATCH(J124,攻击范围,0))</f>
        <v>1</v>
      </c>
      <c r="L124" s="70">
        <v>0.3</v>
      </c>
      <c r="M124" s="41">
        <v>0</v>
      </c>
      <c r="N124" s="15">
        <f t="shared" si="4"/>
        <v>21</v>
      </c>
      <c r="O124" s="15">
        <f t="shared" si="5"/>
        <v>0.62</v>
      </c>
      <c r="P124" s="15">
        <f>IF(G124,INDEX(monster!$J$2:$J$606,MATCH(skill!C124,monster!$A$2:$A$606,0)),Q124)</f>
        <v>1.2</v>
      </c>
      <c r="Q124" s="70"/>
      <c r="R124" s="33">
        <v>130</v>
      </c>
    </row>
    <row r="125" spans="1:18" s="38" customFormat="1" x14ac:dyDescent="0.15">
      <c r="A125" s="32">
        <v>10124</v>
      </c>
      <c r="B125" s="32" t="s">
        <v>665</v>
      </c>
      <c r="C125" s="32">
        <v>1069</v>
      </c>
      <c r="D125" s="32">
        <v>2</v>
      </c>
      <c r="E125" s="15">
        <f>INDEX(monster!$H$2:$H$617,MATCH(skill!C125,monster!$A$2:$A$617,0))</f>
        <v>52.7</v>
      </c>
      <c r="F125" s="15">
        <f>INDEX(monster!$I$2:$I$617,MATCH(C125,monster!$A$2:$A$617,0))</f>
        <v>1.58</v>
      </c>
      <c r="G125" s="15" t="b">
        <f t="shared" si="3"/>
        <v>1</v>
      </c>
      <c r="H125" s="32">
        <v>1</v>
      </c>
      <c r="I125" s="15">
        <f>IF(H125&gt;0,HLOOKUP(R125/100,数值规划表!$B$37:$AA$39,3),1)</f>
        <v>1.4560000000000002</v>
      </c>
      <c r="J125" s="31" t="s">
        <v>1625</v>
      </c>
      <c r="K125" s="15">
        <f>INDEX(数值规划表!$B$15:$B$18,MATCH(J125,攻击范围,0))</f>
        <v>1</v>
      </c>
      <c r="L125" s="70">
        <v>0.3</v>
      </c>
      <c r="M125" s="41">
        <v>0</v>
      </c>
      <c r="N125" s="15">
        <f t="shared" si="4"/>
        <v>23</v>
      </c>
      <c r="O125" s="15">
        <f t="shared" si="5"/>
        <v>0.69</v>
      </c>
      <c r="P125" s="15">
        <f>IF(G125,INDEX(monster!$J$2:$J$606,MATCH(skill!C125,monster!$A$2:$A$606,0)),Q125)</f>
        <v>1.2</v>
      </c>
      <c r="Q125" s="70"/>
      <c r="R125" s="33">
        <v>130</v>
      </c>
    </row>
    <row r="126" spans="1:18" s="38" customFormat="1" x14ac:dyDescent="0.15">
      <c r="A126" s="32">
        <v>10125</v>
      </c>
      <c r="B126" s="32" t="s">
        <v>666</v>
      </c>
      <c r="C126" s="32">
        <v>1070</v>
      </c>
      <c r="D126" s="32">
        <v>3</v>
      </c>
      <c r="E126" s="15">
        <f>INDEX(monster!$H$2:$H$617,MATCH(skill!C126,monster!$A$2:$A$617,0))</f>
        <v>59.02</v>
      </c>
      <c r="F126" s="15">
        <f>INDEX(monster!$I$2:$I$617,MATCH(C126,monster!$A$2:$A$617,0))</f>
        <v>1.77</v>
      </c>
      <c r="G126" s="15" t="b">
        <f t="shared" si="3"/>
        <v>1</v>
      </c>
      <c r="H126" s="32">
        <v>1</v>
      </c>
      <c r="I126" s="15">
        <f>IF(H126&gt;0,HLOOKUP(R126/100,数值规划表!$B$37:$AA$39,3),1)</f>
        <v>1.4560000000000002</v>
      </c>
      <c r="J126" s="31" t="s">
        <v>1625</v>
      </c>
      <c r="K126" s="15">
        <f>INDEX(数值规划表!$B$15:$B$18,MATCH(J126,攻击范围,0))</f>
        <v>1</v>
      </c>
      <c r="L126" s="70">
        <v>0.3</v>
      </c>
      <c r="M126" s="41">
        <v>0</v>
      </c>
      <c r="N126" s="15">
        <f t="shared" si="4"/>
        <v>26</v>
      </c>
      <c r="O126" s="15">
        <f t="shared" si="5"/>
        <v>0.77</v>
      </c>
      <c r="P126" s="15">
        <f>IF(G126,INDEX(monster!$J$2:$J$606,MATCH(skill!C126,monster!$A$2:$A$606,0)),Q126)</f>
        <v>1.2</v>
      </c>
      <c r="Q126" s="70"/>
      <c r="R126" s="33">
        <v>130</v>
      </c>
    </row>
    <row r="127" spans="1:18" s="38" customFormat="1" x14ac:dyDescent="0.15">
      <c r="A127" s="32">
        <v>10126</v>
      </c>
      <c r="B127" s="32" t="s">
        <v>667</v>
      </c>
      <c r="C127" s="32">
        <v>1071</v>
      </c>
      <c r="D127" s="32">
        <v>4</v>
      </c>
      <c r="E127" s="15">
        <f>INDEX(monster!$H$2:$H$617,MATCH(skill!C127,monster!$A$2:$A$617,0))</f>
        <v>66.099999999999994</v>
      </c>
      <c r="F127" s="15">
        <f>INDEX(monster!$I$2:$I$617,MATCH(C127,monster!$A$2:$A$617,0))</f>
        <v>1.98</v>
      </c>
      <c r="G127" s="15" t="b">
        <f t="shared" si="3"/>
        <v>1</v>
      </c>
      <c r="H127" s="32">
        <v>1</v>
      </c>
      <c r="I127" s="15">
        <f>IF(H127&gt;0,HLOOKUP(R127/100,数值规划表!$B$37:$AA$39,3),1)</f>
        <v>1.4560000000000002</v>
      </c>
      <c r="J127" s="31" t="s">
        <v>1625</v>
      </c>
      <c r="K127" s="15">
        <f>INDEX(数值规划表!$B$15:$B$18,MATCH(J127,攻击范围,0))</f>
        <v>1</v>
      </c>
      <c r="L127" s="70">
        <v>0.3</v>
      </c>
      <c r="M127" s="41">
        <v>0</v>
      </c>
      <c r="N127" s="15">
        <f t="shared" si="4"/>
        <v>29</v>
      </c>
      <c r="O127" s="15">
        <f t="shared" si="5"/>
        <v>0.86</v>
      </c>
      <c r="P127" s="15">
        <f>IF(G127,INDEX(monster!$J$2:$J$606,MATCH(skill!C127,monster!$A$2:$A$606,0)),Q127)</f>
        <v>1.2</v>
      </c>
      <c r="Q127" s="70"/>
      <c r="R127" s="33">
        <v>130</v>
      </c>
    </row>
    <row r="128" spans="1:18" s="38" customFormat="1" x14ac:dyDescent="0.15">
      <c r="A128" s="32">
        <v>10127</v>
      </c>
      <c r="B128" s="32" t="s">
        <v>668</v>
      </c>
      <c r="C128" s="32">
        <v>1072</v>
      </c>
      <c r="D128" s="32">
        <v>5</v>
      </c>
      <c r="E128" s="15">
        <f>INDEX(monster!$H$2:$H$617,MATCH(skill!C128,monster!$A$2:$A$617,0))</f>
        <v>74.040000000000006</v>
      </c>
      <c r="F128" s="15">
        <f>INDEX(monster!$I$2:$I$617,MATCH(C128,monster!$A$2:$A$617,0))</f>
        <v>2.2200000000000002</v>
      </c>
      <c r="G128" s="15" t="b">
        <f t="shared" si="3"/>
        <v>1</v>
      </c>
      <c r="H128" s="32">
        <v>1</v>
      </c>
      <c r="I128" s="15">
        <f>IF(H128&gt;0,HLOOKUP(R128/100,数值规划表!$B$37:$AA$39,3),1)</f>
        <v>1.4560000000000002</v>
      </c>
      <c r="J128" s="31" t="s">
        <v>1625</v>
      </c>
      <c r="K128" s="15">
        <f>INDEX(数值规划表!$B$15:$B$18,MATCH(J128,攻击范围,0))</f>
        <v>1</v>
      </c>
      <c r="L128" s="70">
        <v>0.3</v>
      </c>
      <c r="M128" s="41">
        <v>0</v>
      </c>
      <c r="N128" s="15">
        <f t="shared" si="4"/>
        <v>32</v>
      </c>
      <c r="O128" s="15">
        <f t="shared" si="5"/>
        <v>0.97</v>
      </c>
      <c r="P128" s="15">
        <f>IF(G128,INDEX(monster!$J$2:$J$606,MATCH(skill!C128,monster!$A$2:$A$606,0)),Q128)</f>
        <v>1.2</v>
      </c>
      <c r="Q128" s="70"/>
      <c r="R128" s="33">
        <v>130</v>
      </c>
    </row>
    <row r="129" spans="1:18" s="38" customFormat="1" x14ac:dyDescent="0.15">
      <c r="A129" s="32">
        <v>10128</v>
      </c>
      <c r="B129" s="32" t="s">
        <v>669</v>
      </c>
      <c r="C129" s="32">
        <v>1073</v>
      </c>
      <c r="D129" s="32">
        <v>6</v>
      </c>
      <c r="E129" s="15">
        <f>INDEX(monster!$H$2:$H$617,MATCH(skill!C129,monster!$A$2:$A$617,0))</f>
        <v>82.92</v>
      </c>
      <c r="F129" s="15">
        <f>INDEX(monster!$I$2:$I$617,MATCH(C129,monster!$A$2:$A$617,0))</f>
        <v>2.4900000000000002</v>
      </c>
      <c r="G129" s="15" t="b">
        <f t="shared" si="3"/>
        <v>1</v>
      </c>
      <c r="H129" s="32">
        <v>1</v>
      </c>
      <c r="I129" s="15">
        <f>IF(H129&gt;0,HLOOKUP(R129/100,数值规划表!$B$37:$AA$39,3),1)</f>
        <v>1.4560000000000002</v>
      </c>
      <c r="J129" s="31" t="s">
        <v>1625</v>
      </c>
      <c r="K129" s="15">
        <f>INDEX(数值规划表!$B$15:$B$18,MATCH(J129,攻击范围,0))</f>
        <v>1</v>
      </c>
      <c r="L129" s="70">
        <v>0.3</v>
      </c>
      <c r="M129" s="41">
        <v>0</v>
      </c>
      <c r="N129" s="15">
        <f t="shared" si="4"/>
        <v>36</v>
      </c>
      <c r="O129" s="15">
        <f t="shared" si="5"/>
        <v>1.0900000000000001</v>
      </c>
      <c r="P129" s="15">
        <f>IF(G129,INDEX(monster!$J$2:$J$606,MATCH(skill!C129,monster!$A$2:$A$606,0)),Q129)</f>
        <v>1.2</v>
      </c>
      <c r="Q129" s="70"/>
      <c r="R129" s="33">
        <v>130</v>
      </c>
    </row>
    <row r="130" spans="1:18" s="38" customFormat="1" x14ac:dyDescent="0.15">
      <c r="A130" s="32">
        <v>10129</v>
      </c>
      <c r="B130" s="32" t="s">
        <v>670</v>
      </c>
      <c r="C130" s="32">
        <v>1074</v>
      </c>
      <c r="D130" s="32">
        <v>7</v>
      </c>
      <c r="E130" s="15">
        <f>INDEX(monster!$H$2:$H$617,MATCH(skill!C130,monster!$A$2:$A$617,0))</f>
        <v>92.87</v>
      </c>
      <c r="F130" s="15">
        <f>INDEX(monster!$I$2:$I$617,MATCH(C130,monster!$A$2:$A$617,0))</f>
        <v>2.79</v>
      </c>
      <c r="G130" s="15" t="b">
        <f t="shared" si="3"/>
        <v>1</v>
      </c>
      <c r="H130" s="32">
        <v>1</v>
      </c>
      <c r="I130" s="15">
        <f>IF(H130&gt;0,HLOOKUP(R130/100,数值规划表!$B$37:$AA$39,3),1)</f>
        <v>1.4560000000000002</v>
      </c>
      <c r="J130" s="31" t="s">
        <v>1625</v>
      </c>
      <c r="K130" s="15">
        <f>INDEX(数值规划表!$B$15:$B$18,MATCH(J130,攻击范围,0))</f>
        <v>1</v>
      </c>
      <c r="L130" s="70">
        <v>0.3</v>
      </c>
      <c r="M130" s="41">
        <v>0</v>
      </c>
      <c r="N130" s="15">
        <f t="shared" ref="N130:N193" si="8">ROUND(E130*I130*K130*L130,0)</f>
        <v>41</v>
      </c>
      <c r="O130" s="15">
        <f t="shared" ref="O130:O193" si="9">ROUND(F130*I130*K130*L130,2)</f>
        <v>1.22</v>
      </c>
      <c r="P130" s="15">
        <f>IF(G130,INDEX(monster!$J$2:$J$606,MATCH(skill!C130,monster!$A$2:$A$606,0)),Q130)</f>
        <v>1.2</v>
      </c>
      <c r="Q130" s="70"/>
      <c r="R130" s="33">
        <v>130</v>
      </c>
    </row>
    <row r="131" spans="1:18" s="38" customFormat="1" x14ac:dyDescent="0.15">
      <c r="A131" s="32">
        <v>10130</v>
      </c>
      <c r="B131" s="32" t="s">
        <v>671</v>
      </c>
      <c r="C131" s="32">
        <v>1075</v>
      </c>
      <c r="D131" s="32">
        <v>8</v>
      </c>
      <c r="E131" s="15">
        <f>INDEX(monster!$H$2:$H$617,MATCH(skill!C131,monster!$A$2:$A$617,0))</f>
        <v>104.02</v>
      </c>
      <c r="F131" s="15">
        <f>INDEX(monster!$I$2:$I$617,MATCH(C131,monster!$A$2:$A$617,0))</f>
        <v>3.12</v>
      </c>
      <c r="G131" s="15" t="b">
        <f t="shared" si="3"/>
        <v>1</v>
      </c>
      <c r="H131" s="32">
        <v>1</v>
      </c>
      <c r="I131" s="15">
        <f>IF(H131&gt;0,HLOOKUP(R131/100,数值规划表!$B$37:$AA$39,3),1)</f>
        <v>1.4560000000000002</v>
      </c>
      <c r="J131" s="31" t="s">
        <v>1625</v>
      </c>
      <c r="K131" s="15">
        <f>INDEX(数值规划表!$B$15:$B$18,MATCH(J131,攻击范围,0))</f>
        <v>1</v>
      </c>
      <c r="L131" s="70">
        <v>0.3</v>
      </c>
      <c r="M131" s="41">
        <v>0</v>
      </c>
      <c r="N131" s="15">
        <f t="shared" si="8"/>
        <v>45</v>
      </c>
      <c r="O131" s="15">
        <f t="shared" si="9"/>
        <v>1.36</v>
      </c>
      <c r="P131" s="15">
        <f>IF(G131,INDEX(monster!$J$2:$J$606,MATCH(skill!C131,monster!$A$2:$A$606,0)),Q131)</f>
        <v>1.2</v>
      </c>
      <c r="Q131" s="70"/>
      <c r="R131" s="33">
        <v>130</v>
      </c>
    </row>
    <row r="132" spans="1:18" s="38" customFormat="1" x14ac:dyDescent="0.15">
      <c r="A132" s="32">
        <v>10131</v>
      </c>
      <c r="B132" s="32" t="s">
        <v>672</v>
      </c>
      <c r="C132" s="32">
        <v>1076</v>
      </c>
      <c r="D132" s="32">
        <v>9</v>
      </c>
      <c r="E132" s="15">
        <f>INDEX(monster!$H$2:$H$617,MATCH(skill!C132,monster!$A$2:$A$617,0))</f>
        <v>116.5</v>
      </c>
      <c r="F132" s="15">
        <f>INDEX(monster!$I$2:$I$617,MATCH(C132,monster!$A$2:$A$617,0))</f>
        <v>3.49</v>
      </c>
      <c r="G132" s="15" t="b">
        <f t="shared" si="3"/>
        <v>1</v>
      </c>
      <c r="H132" s="32">
        <v>1</v>
      </c>
      <c r="I132" s="15">
        <f>IF(H132&gt;0,HLOOKUP(R132/100,数值规划表!$B$37:$AA$39,3),1)</f>
        <v>1.4560000000000002</v>
      </c>
      <c r="J132" s="31" t="s">
        <v>1625</v>
      </c>
      <c r="K132" s="15">
        <f>INDEX(数值规划表!$B$15:$B$18,MATCH(J132,攻击范围,0))</f>
        <v>1</v>
      </c>
      <c r="L132" s="70">
        <v>0.3</v>
      </c>
      <c r="M132" s="41">
        <v>0</v>
      </c>
      <c r="N132" s="15">
        <f t="shared" si="8"/>
        <v>51</v>
      </c>
      <c r="O132" s="15">
        <f t="shared" si="9"/>
        <v>1.52</v>
      </c>
      <c r="P132" s="15">
        <f>IF(G132,INDEX(monster!$J$2:$J$606,MATCH(skill!C132,monster!$A$2:$A$606,0)),Q132)</f>
        <v>1.2</v>
      </c>
      <c r="Q132" s="70"/>
      <c r="R132" s="33">
        <v>130</v>
      </c>
    </row>
    <row r="133" spans="1:18" s="38" customFormat="1" x14ac:dyDescent="0.15">
      <c r="A133" s="32">
        <v>10132</v>
      </c>
      <c r="B133" s="32" t="s">
        <v>673</v>
      </c>
      <c r="C133" s="32">
        <v>1077</v>
      </c>
      <c r="D133" s="32">
        <v>10</v>
      </c>
      <c r="E133" s="15">
        <f>INDEX(monster!$H$2:$H$617,MATCH(skill!C133,monster!$A$2:$A$617,0))</f>
        <v>130.47999999999999</v>
      </c>
      <c r="F133" s="15">
        <f>INDEX(monster!$I$2:$I$617,MATCH(C133,monster!$A$2:$A$617,0))</f>
        <v>3.91</v>
      </c>
      <c r="G133" s="15" t="b">
        <f t="shared" si="3"/>
        <v>1</v>
      </c>
      <c r="H133" s="32">
        <v>1</v>
      </c>
      <c r="I133" s="15">
        <f>IF(H133&gt;0,HLOOKUP(R133/100,数值规划表!$B$37:$AA$39,3),1)</f>
        <v>1.4560000000000002</v>
      </c>
      <c r="J133" s="31" t="s">
        <v>1625</v>
      </c>
      <c r="K133" s="15">
        <f>INDEX(数值规划表!$B$15:$B$18,MATCH(J133,攻击范围,0))</f>
        <v>1</v>
      </c>
      <c r="L133" s="70">
        <v>0.3</v>
      </c>
      <c r="M133" s="41">
        <v>0</v>
      </c>
      <c r="N133" s="15">
        <f t="shared" si="8"/>
        <v>57</v>
      </c>
      <c r="O133" s="15">
        <f t="shared" si="9"/>
        <v>1.71</v>
      </c>
      <c r="P133" s="15">
        <f>IF(G133,INDEX(monster!$J$2:$J$606,MATCH(skill!C133,monster!$A$2:$A$606,0)),Q133)</f>
        <v>1.2</v>
      </c>
      <c r="Q133" s="70"/>
      <c r="R133" s="33">
        <v>130</v>
      </c>
    </row>
    <row r="134" spans="1:18" s="38" customFormat="1" x14ac:dyDescent="0.15">
      <c r="A134" s="32">
        <v>10133</v>
      </c>
      <c r="B134" s="32" t="s">
        <v>2800</v>
      </c>
      <c r="C134" s="32">
        <v>1078</v>
      </c>
      <c r="D134" s="32">
        <v>0</v>
      </c>
      <c r="E134" s="15">
        <f>INDEX(monster!$H$2:$H$617,MATCH(skill!C134,monster!$A$2:$A$617,0))</f>
        <v>78.400000000000006</v>
      </c>
      <c r="F134" s="15">
        <f>INDEX(monster!$I$2:$I$617,MATCH(C134,monster!$A$2:$A$617,0))</f>
        <v>2.35</v>
      </c>
      <c r="G134" s="15" t="b">
        <f t="shared" si="3"/>
        <v>1</v>
      </c>
      <c r="H134" s="32">
        <v>1</v>
      </c>
      <c r="I134" s="15">
        <f>IF(H134&gt;0,HLOOKUP(R134/100,数值规划表!$B$37:$AA$39,3),1)</f>
        <v>1</v>
      </c>
      <c r="J134" s="31" t="s">
        <v>1625</v>
      </c>
      <c r="K134" s="15">
        <f>INDEX(数值规划表!$B$15:$B$18,MATCH(J134,攻击范围,0))</f>
        <v>1</v>
      </c>
      <c r="L134" s="30">
        <v>1</v>
      </c>
      <c r="M134" s="41">
        <v>0</v>
      </c>
      <c r="N134" s="15">
        <f t="shared" si="8"/>
        <v>78</v>
      </c>
      <c r="O134" s="15">
        <f t="shared" si="9"/>
        <v>2.35</v>
      </c>
      <c r="P134" s="15">
        <f>IF(G134,INDEX(monster!$J$2:$J$606,MATCH(skill!C134,monster!$A$2:$A$606,0)),Q134)</f>
        <v>1.2</v>
      </c>
      <c r="Q134" s="70"/>
      <c r="R134" s="33">
        <v>100</v>
      </c>
    </row>
    <row r="135" spans="1:18" s="38" customFormat="1" x14ac:dyDescent="0.15">
      <c r="A135" s="32">
        <v>10134</v>
      </c>
      <c r="B135" s="32" t="s">
        <v>2801</v>
      </c>
      <c r="C135" s="32">
        <v>1079</v>
      </c>
      <c r="D135" s="32">
        <v>1</v>
      </c>
      <c r="E135" s="15">
        <f>INDEX(monster!$H$2:$H$617,MATCH(skill!C135,monster!$A$2:$A$617,0))</f>
        <v>87.81</v>
      </c>
      <c r="F135" s="15">
        <f>INDEX(monster!$I$2:$I$617,MATCH(C135,monster!$A$2:$A$617,0))</f>
        <v>2.63</v>
      </c>
      <c r="G135" s="15" t="b">
        <f t="shared" si="3"/>
        <v>1</v>
      </c>
      <c r="H135" s="32">
        <v>1</v>
      </c>
      <c r="I135" s="15">
        <f>IF(H135&gt;0,HLOOKUP(R135/100,数值规划表!$B$37:$AA$39,3),1)</f>
        <v>1</v>
      </c>
      <c r="J135" s="31" t="s">
        <v>1625</v>
      </c>
      <c r="K135" s="15">
        <f>INDEX(数值规划表!$B$15:$B$18,MATCH(J135,攻击范围,0))</f>
        <v>1</v>
      </c>
      <c r="L135" s="30">
        <v>1</v>
      </c>
      <c r="M135" s="41">
        <v>0</v>
      </c>
      <c r="N135" s="15">
        <f t="shared" si="8"/>
        <v>88</v>
      </c>
      <c r="O135" s="15">
        <f t="shared" si="9"/>
        <v>2.63</v>
      </c>
      <c r="P135" s="15">
        <f>IF(G135,INDEX(monster!$J$2:$J$606,MATCH(skill!C135,monster!$A$2:$A$606,0)),Q135)</f>
        <v>1.2</v>
      </c>
      <c r="Q135" s="70"/>
      <c r="R135" s="33">
        <v>100</v>
      </c>
    </row>
    <row r="136" spans="1:18" s="38" customFormat="1" x14ac:dyDescent="0.15">
      <c r="A136" s="32">
        <v>10135</v>
      </c>
      <c r="B136" s="32" t="s">
        <v>674</v>
      </c>
      <c r="C136" s="32">
        <v>1080</v>
      </c>
      <c r="D136" s="32">
        <v>2</v>
      </c>
      <c r="E136" s="15">
        <f>INDEX(monster!$H$2:$H$617,MATCH(skill!C136,monster!$A$2:$A$617,0))</f>
        <v>98.34</v>
      </c>
      <c r="F136" s="15">
        <f>INDEX(monster!$I$2:$I$617,MATCH(C136,monster!$A$2:$A$617,0))</f>
        <v>2.95</v>
      </c>
      <c r="G136" s="15" t="b">
        <f t="shared" si="3"/>
        <v>1</v>
      </c>
      <c r="H136" s="32">
        <v>1</v>
      </c>
      <c r="I136" s="15">
        <f>IF(H136&gt;0,HLOOKUP(R136/100,数值规划表!$B$37:$AA$39,3),1)</f>
        <v>1</v>
      </c>
      <c r="J136" s="31" t="s">
        <v>1625</v>
      </c>
      <c r="K136" s="15">
        <f>INDEX(数值规划表!$B$15:$B$18,MATCH(J136,攻击范围,0))</f>
        <v>1</v>
      </c>
      <c r="L136" s="30">
        <v>1</v>
      </c>
      <c r="M136" s="41">
        <v>0</v>
      </c>
      <c r="N136" s="15">
        <f t="shared" si="8"/>
        <v>98</v>
      </c>
      <c r="O136" s="15">
        <f t="shared" si="9"/>
        <v>2.95</v>
      </c>
      <c r="P136" s="15">
        <f>IF(G136,INDEX(monster!$J$2:$J$606,MATCH(skill!C136,monster!$A$2:$A$606,0)),Q136)</f>
        <v>1.2</v>
      </c>
      <c r="Q136" s="70"/>
      <c r="R136" s="33">
        <v>100</v>
      </c>
    </row>
    <row r="137" spans="1:18" s="38" customFormat="1" x14ac:dyDescent="0.15">
      <c r="A137" s="32">
        <v>10136</v>
      </c>
      <c r="B137" s="32" t="s">
        <v>675</v>
      </c>
      <c r="C137" s="32">
        <v>1081</v>
      </c>
      <c r="D137" s="32">
        <v>3</v>
      </c>
      <c r="E137" s="15">
        <f>INDEX(monster!$H$2:$H$617,MATCH(skill!C137,monster!$A$2:$A$617,0))</f>
        <v>110.15</v>
      </c>
      <c r="F137" s="15">
        <f>INDEX(monster!$I$2:$I$617,MATCH(C137,monster!$A$2:$A$617,0))</f>
        <v>3.3</v>
      </c>
      <c r="G137" s="15" t="b">
        <f t="shared" si="3"/>
        <v>1</v>
      </c>
      <c r="H137" s="32">
        <v>1</v>
      </c>
      <c r="I137" s="15">
        <f>IF(H137&gt;0,HLOOKUP(R137/100,数值规划表!$B$37:$AA$39,3),1)</f>
        <v>1</v>
      </c>
      <c r="J137" s="31" t="s">
        <v>1625</v>
      </c>
      <c r="K137" s="15">
        <f>INDEX(数值规划表!$B$15:$B$18,MATCH(J137,攻击范围,0))</f>
        <v>1</v>
      </c>
      <c r="L137" s="30">
        <v>1</v>
      </c>
      <c r="M137" s="41">
        <v>0</v>
      </c>
      <c r="N137" s="15">
        <f t="shared" si="8"/>
        <v>110</v>
      </c>
      <c r="O137" s="15">
        <f t="shared" si="9"/>
        <v>3.3</v>
      </c>
      <c r="P137" s="15">
        <f>IF(G137,INDEX(monster!$J$2:$J$606,MATCH(skill!C137,monster!$A$2:$A$606,0)),Q137)</f>
        <v>1.2</v>
      </c>
      <c r="Q137" s="70"/>
      <c r="R137" s="33">
        <v>100</v>
      </c>
    </row>
    <row r="138" spans="1:18" s="38" customFormat="1" x14ac:dyDescent="0.15">
      <c r="A138" s="32">
        <v>10137</v>
      </c>
      <c r="B138" s="32" t="s">
        <v>676</v>
      </c>
      <c r="C138" s="32">
        <v>1082</v>
      </c>
      <c r="D138" s="32">
        <v>4</v>
      </c>
      <c r="E138" s="15">
        <f>INDEX(monster!$H$2:$H$617,MATCH(skill!C138,monster!$A$2:$A$617,0))</f>
        <v>123.36</v>
      </c>
      <c r="F138" s="15">
        <f>INDEX(monster!$I$2:$I$617,MATCH(C138,monster!$A$2:$A$617,0))</f>
        <v>3.7</v>
      </c>
      <c r="G138" s="15" t="b">
        <f t="shared" si="3"/>
        <v>1</v>
      </c>
      <c r="H138" s="32">
        <v>1</v>
      </c>
      <c r="I138" s="15">
        <f>IF(H138&gt;0,HLOOKUP(R138/100,数值规划表!$B$37:$AA$39,3),1)</f>
        <v>1</v>
      </c>
      <c r="J138" s="31" t="s">
        <v>1625</v>
      </c>
      <c r="K138" s="15">
        <f>INDEX(数值规划表!$B$15:$B$18,MATCH(J138,攻击范围,0))</f>
        <v>1</v>
      </c>
      <c r="L138" s="30">
        <v>1</v>
      </c>
      <c r="M138" s="41">
        <v>0</v>
      </c>
      <c r="N138" s="15">
        <f t="shared" si="8"/>
        <v>123</v>
      </c>
      <c r="O138" s="15">
        <f t="shared" si="9"/>
        <v>3.7</v>
      </c>
      <c r="P138" s="15">
        <f>IF(G138,INDEX(monster!$J$2:$J$606,MATCH(skill!C138,monster!$A$2:$A$606,0)),Q138)</f>
        <v>1.2</v>
      </c>
      <c r="Q138" s="70"/>
      <c r="R138" s="33">
        <v>100</v>
      </c>
    </row>
    <row r="139" spans="1:18" s="38" customFormat="1" x14ac:dyDescent="0.15">
      <c r="A139" s="32">
        <v>10138</v>
      </c>
      <c r="B139" s="32" t="s">
        <v>677</v>
      </c>
      <c r="C139" s="32">
        <v>1083</v>
      </c>
      <c r="D139" s="32">
        <v>5</v>
      </c>
      <c r="E139" s="15">
        <f>INDEX(monster!$H$2:$H$617,MATCH(skill!C139,monster!$A$2:$A$617,0))</f>
        <v>138.16999999999999</v>
      </c>
      <c r="F139" s="15">
        <f>INDEX(monster!$I$2:$I$617,MATCH(C139,monster!$A$2:$A$617,0))</f>
        <v>4.1500000000000004</v>
      </c>
      <c r="G139" s="15" t="b">
        <f t="shared" si="3"/>
        <v>1</v>
      </c>
      <c r="H139" s="32">
        <v>1</v>
      </c>
      <c r="I139" s="15">
        <f>IF(H139&gt;0,HLOOKUP(R139/100,数值规划表!$B$37:$AA$39,3),1)</f>
        <v>1</v>
      </c>
      <c r="J139" s="31" t="s">
        <v>1625</v>
      </c>
      <c r="K139" s="15">
        <f>INDEX(数值规划表!$B$15:$B$18,MATCH(J139,攻击范围,0))</f>
        <v>1</v>
      </c>
      <c r="L139" s="30">
        <v>1</v>
      </c>
      <c r="M139" s="41">
        <v>0</v>
      </c>
      <c r="N139" s="15">
        <f t="shared" si="8"/>
        <v>138</v>
      </c>
      <c r="O139" s="15">
        <f t="shared" si="9"/>
        <v>4.1500000000000004</v>
      </c>
      <c r="P139" s="15">
        <f>IF(G139,INDEX(monster!$J$2:$J$606,MATCH(skill!C139,monster!$A$2:$A$606,0)),Q139)</f>
        <v>1.2</v>
      </c>
      <c r="Q139" s="70"/>
      <c r="R139" s="33">
        <v>100</v>
      </c>
    </row>
    <row r="140" spans="1:18" s="38" customFormat="1" x14ac:dyDescent="0.15">
      <c r="A140" s="32">
        <v>10139</v>
      </c>
      <c r="B140" s="32" t="s">
        <v>678</v>
      </c>
      <c r="C140" s="32">
        <v>1084</v>
      </c>
      <c r="D140" s="32">
        <v>6</v>
      </c>
      <c r="E140" s="15">
        <f>INDEX(monster!$H$2:$H$617,MATCH(skill!C140,monster!$A$2:$A$617,0))</f>
        <v>154.75</v>
      </c>
      <c r="F140" s="15">
        <f>INDEX(monster!$I$2:$I$617,MATCH(C140,monster!$A$2:$A$617,0))</f>
        <v>4.6399999999999997</v>
      </c>
      <c r="G140" s="15" t="b">
        <f t="shared" si="3"/>
        <v>1</v>
      </c>
      <c r="H140" s="32">
        <v>1</v>
      </c>
      <c r="I140" s="15">
        <f>IF(H140&gt;0,HLOOKUP(R140/100,数值规划表!$B$37:$AA$39,3),1)</f>
        <v>1</v>
      </c>
      <c r="J140" s="31" t="s">
        <v>1625</v>
      </c>
      <c r="K140" s="15">
        <f>INDEX(数值规划表!$B$15:$B$18,MATCH(J140,攻击范围,0))</f>
        <v>1</v>
      </c>
      <c r="L140" s="30">
        <v>1</v>
      </c>
      <c r="M140" s="41">
        <v>0</v>
      </c>
      <c r="N140" s="15">
        <f t="shared" si="8"/>
        <v>155</v>
      </c>
      <c r="O140" s="15">
        <f t="shared" si="9"/>
        <v>4.6399999999999997</v>
      </c>
      <c r="P140" s="15">
        <f>IF(G140,INDEX(monster!$J$2:$J$606,MATCH(skill!C140,monster!$A$2:$A$606,0)),Q140)</f>
        <v>1.2</v>
      </c>
      <c r="Q140" s="70"/>
      <c r="R140" s="33">
        <v>100</v>
      </c>
    </row>
    <row r="141" spans="1:18" s="38" customFormat="1" x14ac:dyDescent="0.15">
      <c r="A141" s="32">
        <v>10140</v>
      </c>
      <c r="B141" s="32" t="s">
        <v>679</v>
      </c>
      <c r="C141" s="32">
        <v>1085</v>
      </c>
      <c r="D141" s="32">
        <v>7</v>
      </c>
      <c r="E141" s="15">
        <f>INDEX(monster!$H$2:$H$617,MATCH(skill!C141,monster!$A$2:$A$617,0))</f>
        <v>173.32</v>
      </c>
      <c r="F141" s="15">
        <f>INDEX(monster!$I$2:$I$617,MATCH(C141,monster!$A$2:$A$617,0))</f>
        <v>5.2</v>
      </c>
      <c r="G141" s="15" t="b">
        <f t="shared" ref="G141:G204" si="10">ISNUMBER(FIND("普攻",B141))</f>
        <v>1</v>
      </c>
      <c r="H141" s="32">
        <v>1</v>
      </c>
      <c r="I141" s="15">
        <f>IF(H141&gt;0,HLOOKUP(R141/100,数值规划表!$B$37:$AA$39,3),1)</f>
        <v>1</v>
      </c>
      <c r="J141" s="31" t="s">
        <v>1625</v>
      </c>
      <c r="K141" s="15">
        <f>INDEX(数值规划表!$B$15:$B$18,MATCH(J141,攻击范围,0))</f>
        <v>1</v>
      </c>
      <c r="L141" s="30">
        <v>1</v>
      </c>
      <c r="M141" s="41">
        <v>0</v>
      </c>
      <c r="N141" s="15">
        <f t="shared" si="8"/>
        <v>173</v>
      </c>
      <c r="O141" s="15">
        <f t="shared" si="9"/>
        <v>5.2</v>
      </c>
      <c r="P141" s="15">
        <f>IF(G141,INDEX(monster!$J$2:$J$606,MATCH(skill!C141,monster!$A$2:$A$606,0)),Q141)</f>
        <v>1.2</v>
      </c>
      <c r="Q141" s="70"/>
      <c r="R141" s="33">
        <v>100</v>
      </c>
    </row>
    <row r="142" spans="1:18" s="38" customFormat="1" x14ac:dyDescent="0.15">
      <c r="A142" s="32">
        <v>10141</v>
      </c>
      <c r="B142" s="32" t="s">
        <v>680</v>
      </c>
      <c r="C142" s="32">
        <v>1086</v>
      </c>
      <c r="D142" s="32">
        <v>8</v>
      </c>
      <c r="E142" s="15">
        <f>INDEX(monster!$H$2:$H$617,MATCH(skill!C142,monster!$A$2:$A$617,0))</f>
        <v>194.12</v>
      </c>
      <c r="F142" s="15">
        <f>INDEX(monster!$I$2:$I$617,MATCH(C142,monster!$A$2:$A$617,0))</f>
        <v>5.82</v>
      </c>
      <c r="G142" s="15" t="b">
        <f t="shared" si="10"/>
        <v>1</v>
      </c>
      <c r="H142" s="32">
        <v>1</v>
      </c>
      <c r="I142" s="15">
        <f>IF(H142&gt;0,HLOOKUP(R142/100,数值规划表!$B$37:$AA$39,3),1)</f>
        <v>1</v>
      </c>
      <c r="J142" s="31" t="s">
        <v>1625</v>
      </c>
      <c r="K142" s="15">
        <f>INDEX(数值规划表!$B$15:$B$18,MATCH(J142,攻击范围,0))</f>
        <v>1</v>
      </c>
      <c r="L142" s="30">
        <v>1</v>
      </c>
      <c r="M142" s="41">
        <v>0</v>
      </c>
      <c r="N142" s="15">
        <f t="shared" si="8"/>
        <v>194</v>
      </c>
      <c r="O142" s="15">
        <f t="shared" si="9"/>
        <v>5.82</v>
      </c>
      <c r="P142" s="15">
        <f>IF(G142,INDEX(monster!$J$2:$J$606,MATCH(skill!C142,monster!$A$2:$A$606,0)),Q142)</f>
        <v>1.2</v>
      </c>
      <c r="Q142" s="70"/>
      <c r="R142" s="33">
        <v>100</v>
      </c>
    </row>
    <row r="143" spans="1:18" s="38" customFormat="1" x14ac:dyDescent="0.15">
      <c r="A143" s="32">
        <v>10142</v>
      </c>
      <c r="B143" s="32" t="s">
        <v>681</v>
      </c>
      <c r="C143" s="32">
        <v>1087</v>
      </c>
      <c r="D143" s="32">
        <v>9</v>
      </c>
      <c r="E143" s="15">
        <f>INDEX(monster!$H$2:$H$617,MATCH(skill!C143,monster!$A$2:$A$617,0))</f>
        <v>217.41</v>
      </c>
      <c r="F143" s="15">
        <f>INDEX(monster!$I$2:$I$617,MATCH(C143,monster!$A$2:$A$617,0))</f>
        <v>6.52</v>
      </c>
      <c r="G143" s="15" t="b">
        <f t="shared" si="10"/>
        <v>1</v>
      </c>
      <c r="H143" s="32">
        <v>1</v>
      </c>
      <c r="I143" s="15">
        <f>IF(H143&gt;0,HLOOKUP(R143/100,数值规划表!$B$37:$AA$39,3),1)</f>
        <v>1</v>
      </c>
      <c r="J143" s="31" t="s">
        <v>1625</v>
      </c>
      <c r="K143" s="15">
        <f>INDEX(数值规划表!$B$15:$B$18,MATCH(J143,攻击范围,0))</f>
        <v>1</v>
      </c>
      <c r="L143" s="30">
        <v>1</v>
      </c>
      <c r="M143" s="41">
        <v>0</v>
      </c>
      <c r="N143" s="15">
        <f t="shared" si="8"/>
        <v>217</v>
      </c>
      <c r="O143" s="15">
        <f t="shared" si="9"/>
        <v>6.52</v>
      </c>
      <c r="P143" s="15">
        <f>IF(G143,INDEX(monster!$J$2:$J$606,MATCH(skill!C143,monster!$A$2:$A$606,0)),Q143)</f>
        <v>1.2</v>
      </c>
      <c r="Q143" s="70"/>
      <c r="R143" s="33">
        <v>100</v>
      </c>
    </row>
    <row r="144" spans="1:18" s="38" customFormat="1" x14ac:dyDescent="0.15">
      <c r="A144" s="32">
        <v>10143</v>
      </c>
      <c r="B144" s="32" t="s">
        <v>682</v>
      </c>
      <c r="C144" s="32">
        <v>1088</v>
      </c>
      <c r="D144" s="32">
        <v>10</v>
      </c>
      <c r="E144" s="15">
        <f>INDEX(monster!$H$2:$H$617,MATCH(skill!C144,monster!$A$2:$A$617,0))</f>
        <v>243.5</v>
      </c>
      <c r="F144" s="15">
        <f>INDEX(monster!$I$2:$I$617,MATCH(C144,monster!$A$2:$A$617,0))</f>
        <v>7.3</v>
      </c>
      <c r="G144" s="15" t="b">
        <f t="shared" si="10"/>
        <v>1</v>
      </c>
      <c r="H144" s="32">
        <v>1</v>
      </c>
      <c r="I144" s="15">
        <f>IF(H144&gt;0,HLOOKUP(R144/100,数值规划表!$B$37:$AA$39,3),1)</f>
        <v>1</v>
      </c>
      <c r="J144" s="31" t="s">
        <v>1625</v>
      </c>
      <c r="K144" s="15">
        <f>INDEX(数值规划表!$B$15:$B$18,MATCH(J144,攻击范围,0))</f>
        <v>1</v>
      </c>
      <c r="L144" s="30">
        <v>1</v>
      </c>
      <c r="M144" s="41">
        <v>0</v>
      </c>
      <c r="N144" s="15">
        <f t="shared" si="8"/>
        <v>244</v>
      </c>
      <c r="O144" s="15">
        <f t="shared" si="9"/>
        <v>7.3</v>
      </c>
      <c r="P144" s="15">
        <f>IF(G144,INDEX(monster!$J$2:$J$606,MATCH(skill!C144,monster!$A$2:$A$606,0)),Q144)</f>
        <v>1.2</v>
      </c>
      <c r="Q144" s="70"/>
      <c r="R144" s="33">
        <v>100</v>
      </c>
    </row>
    <row r="145" spans="1:18" s="38" customFormat="1" x14ac:dyDescent="0.15">
      <c r="A145" s="32">
        <v>10144</v>
      </c>
      <c r="B145" s="32" t="s">
        <v>2802</v>
      </c>
      <c r="C145" s="32">
        <v>1089</v>
      </c>
      <c r="D145" s="32">
        <v>0</v>
      </c>
      <c r="E145" s="15">
        <f>INDEX(monster!$H$2:$H$617,MATCH(skill!C145,monster!$A$2:$A$617,0))</f>
        <v>58.94</v>
      </c>
      <c r="F145" s="15">
        <f>INDEX(monster!$I$2:$I$617,MATCH(C145,monster!$A$2:$A$617,0))</f>
        <v>1.77</v>
      </c>
      <c r="G145" s="15" t="b">
        <f t="shared" si="10"/>
        <v>1</v>
      </c>
      <c r="H145" s="32">
        <v>1</v>
      </c>
      <c r="I145" s="15">
        <f>IF(H145&gt;0,HLOOKUP(R145/100,数值规划表!$B$37:$AA$39,3),1)</f>
        <v>1.7999999999999998</v>
      </c>
      <c r="J145" s="31" t="s">
        <v>1625</v>
      </c>
      <c r="K145" s="15">
        <f>INDEX(数值规划表!$B$15:$B$18,MATCH(J145,攻击范围,0))</f>
        <v>1</v>
      </c>
      <c r="L145" s="70">
        <v>0.85</v>
      </c>
      <c r="M145" s="41">
        <v>0</v>
      </c>
      <c r="N145" s="15">
        <f t="shared" si="8"/>
        <v>90</v>
      </c>
      <c r="O145" s="15">
        <f t="shared" si="9"/>
        <v>2.71</v>
      </c>
      <c r="P145" s="15">
        <f>IF(G145,INDEX(monster!$J$2:$J$606,MATCH(skill!C145,monster!$A$2:$A$606,0)),Q145)</f>
        <v>5</v>
      </c>
      <c r="Q145" s="70"/>
      <c r="R145" s="33">
        <v>150</v>
      </c>
    </row>
    <row r="146" spans="1:18" s="38" customFormat="1" x14ac:dyDescent="0.15">
      <c r="A146" s="32">
        <v>10145</v>
      </c>
      <c r="B146" s="32" t="s">
        <v>2803</v>
      </c>
      <c r="C146" s="32">
        <v>1090</v>
      </c>
      <c r="D146" s="32">
        <v>1</v>
      </c>
      <c r="E146" s="15">
        <f>INDEX(monster!$H$2:$H$617,MATCH(skill!C146,monster!$A$2:$A$617,0))</f>
        <v>66.010000000000005</v>
      </c>
      <c r="F146" s="15">
        <f>INDEX(monster!$I$2:$I$617,MATCH(C146,monster!$A$2:$A$617,0))</f>
        <v>1.98</v>
      </c>
      <c r="G146" s="15" t="b">
        <f t="shared" si="10"/>
        <v>1</v>
      </c>
      <c r="H146" s="32">
        <v>1</v>
      </c>
      <c r="I146" s="15">
        <f>IF(H146&gt;0,HLOOKUP(R146/100,数值规划表!$B$37:$AA$39,3),1)</f>
        <v>1.7999999999999998</v>
      </c>
      <c r="J146" s="31" t="s">
        <v>1625</v>
      </c>
      <c r="K146" s="15">
        <f>INDEX(数值规划表!$B$15:$B$18,MATCH(J146,攻击范围,0))</f>
        <v>1</v>
      </c>
      <c r="L146" s="70">
        <v>0.85</v>
      </c>
      <c r="M146" s="41">
        <v>0</v>
      </c>
      <c r="N146" s="15">
        <f t="shared" si="8"/>
        <v>101</v>
      </c>
      <c r="O146" s="15">
        <f t="shared" si="9"/>
        <v>3.03</v>
      </c>
      <c r="P146" s="15">
        <f>IF(G146,INDEX(monster!$J$2:$J$606,MATCH(skill!C146,monster!$A$2:$A$606,0)),Q146)</f>
        <v>5</v>
      </c>
      <c r="Q146" s="70"/>
      <c r="R146" s="33">
        <v>150</v>
      </c>
    </row>
    <row r="147" spans="1:18" s="38" customFormat="1" x14ac:dyDescent="0.15">
      <c r="A147" s="32">
        <v>10146</v>
      </c>
      <c r="B147" s="32" t="s">
        <v>683</v>
      </c>
      <c r="C147" s="32">
        <v>1091</v>
      </c>
      <c r="D147" s="32">
        <v>2</v>
      </c>
      <c r="E147" s="15">
        <f>INDEX(monster!$H$2:$H$617,MATCH(skill!C147,monster!$A$2:$A$617,0))</f>
        <v>73.930000000000007</v>
      </c>
      <c r="F147" s="15">
        <f>INDEX(monster!$I$2:$I$617,MATCH(C147,monster!$A$2:$A$617,0))</f>
        <v>2.2200000000000002</v>
      </c>
      <c r="G147" s="15" t="b">
        <f t="shared" si="10"/>
        <v>1</v>
      </c>
      <c r="H147" s="32">
        <v>1</v>
      </c>
      <c r="I147" s="15">
        <f>IF(H147&gt;0,HLOOKUP(R147/100,数值规划表!$B$37:$AA$39,3),1)</f>
        <v>1.7999999999999998</v>
      </c>
      <c r="J147" s="31" t="s">
        <v>1625</v>
      </c>
      <c r="K147" s="15">
        <f>INDEX(数值规划表!$B$15:$B$18,MATCH(J147,攻击范围,0))</f>
        <v>1</v>
      </c>
      <c r="L147" s="70">
        <v>0.85</v>
      </c>
      <c r="M147" s="41">
        <v>0</v>
      </c>
      <c r="N147" s="15">
        <f t="shared" si="8"/>
        <v>113</v>
      </c>
      <c r="O147" s="15">
        <f t="shared" si="9"/>
        <v>3.4</v>
      </c>
      <c r="P147" s="15">
        <f>IF(G147,INDEX(monster!$J$2:$J$606,MATCH(skill!C147,monster!$A$2:$A$606,0)),Q147)</f>
        <v>5</v>
      </c>
      <c r="Q147" s="70"/>
      <c r="R147" s="33">
        <v>150</v>
      </c>
    </row>
    <row r="148" spans="1:18" s="38" customFormat="1" x14ac:dyDescent="0.15">
      <c r="A148" s="32">
        <v>10147</v>
      </c>
      <c r="B148" s="32" t="s">
        <v>684</v>
      </c>
      <c r="C148" s="32">
        <v>1092</v>
      </c>
      <c r="D148" s="32">
        <v>3</v>
      </c>
      <c r="E148" s="15">
        <f>INDEX(monster!$H$2:$H$617,MATCH(skill!C148,monster!$A$2:$A$617,0))</f>
        <v>82.81</v>
      </c>
      <c r="F148" s="15">
        <f>INDEX(monster!$I$2:$I$617,MATCH(C148,monster!$A$2:$A$617,0))</f>
        <v>2.48</v>
      </c>
      <c r="G148" s="15" t="b">
        <f t="shared" si="10"/>
        <v>1</v>
      </c>
      <c r="H148" s="32">
        <v>1</v>
      </c>
      <c r="I148" s="15">
        <f>IF(H148&gt;0,HLOOKUP(R148/100,数值规划表!$B$37:$AA$39,3),1)</f>
        <v>1.7999999999999998</v>
      </c>
      <c r="J148" s="31" t="s">
        <v>1625</v>
      </c>
      <c r="K148" s="15">
        <f>INDEX(数值规划表!$B$15:$B$18,MATCH(J148,攻击范围,0))</f>
        <v>1</v>
      </c>
      <c r="L148" s="70">
        <v>0.85</v>
      </c>
      <c r="M148" s="41">
        <v>0</v>
      </c>
      <c r="N148" s="15">
        <f t="shared" si="8"/>
        <v>127</v>
      </c>
      <c r="O148" s="15">
        <f t="shared" si="9"/>
        <v>3.79</v>
      </c>
      <c r="P148" s="15">
        <f>IF(G148,INDEX(monster!$J$2:$J$606,MATCH(skill!C148,monster!$A$2:$A$606,0)),Q148)</f>
        <v>5</v>
      </c>
      <c r="Q148" s="70"/>
      <c r="R148" s="33">
        <v>150</v>
      </c>
    </row>
    <row r="149" spans="1:18" s="38" customFormat="1" x14ac:dyDescent="0.15">
      <c r="A149" s="32">
        <v>10148</v>
      </c>
      <c r="B149" s="32" t="s">
        <v>685</v>
      </c>
      <c r="C149" s="32">
        <v>1093</v>
      </c>
      <c r="D149" s="32">
        <v>4</v>
      </c>
      <c r="E149" s="15">
        <f>INDEX(monster!$H$2:$H$617,MATCH(skill!C149,monster!$A$2:$A$617,0))</f>
        <v>92.74</v>
      </c>
      <c r="F149" s="15">
        <f>INDEX(monster!$I$2:$I$617,MATCH(C149,monster!$A$2:$A$617,0))</f>
        <v>2.78</v>
      </c>
      <c r="G149" s="15" t="b">
        <f t="shared" si="10"/>
        <v>1</v>
      </c>
      <c r="H149" s="32">
        <v>1</v>
      </c>
      <c r="I149" s="15">
        <f>IF(H149&gt;0,HLOOKUP(R149/100,数值规划表!$B$37:$AA$39,3),1)</f>
        <v>1.7999999999999998</v>
      </c>
      <c r="J149" s="31" t="s">
        <v>1625</v>
      </c>
      <c r="K149" s="15">
        <f>INDEX(数值规划表!$B$15:$B$18,MATCH(J149,攻击范围,0))</f>
        <v>1</v>
      </c>
      <c r="L149" s="70">
        <v>0.85</v>
      </c>
      <c r="M149" s="41">
        <v>0</v>
      </c>
      <c r="N149" s="15">
        <f t="shared" si="8"/>
        <v>142</v>
      </c>
      <c r="O149" s="15">
        <f t="shared" si="9"/>
        <v>4.25</v>
      </c>
      <c r="P149" s="15">
        <f>IF(G149,INDEX(monster!$J$2:$J$606,MATCH(skill!C149,monster!$A$2:$A$606,0)),Q149)</f>
        <v>5</v>
      </c>
      <c r="Q149" s="70"/>
      <c r="R149" s="33">
        <v>150</v>
      </c>
    </row>
    <row r="150" spans="1:18" s="38" customFormat="1" x14ac:dyDescent="0.15">
      <c r="A150" s="32">
        <v>10149</v>
      </c>
      <c r="B150" s="32" t="s">
        <v>686</v>
      </c>
      <c r="C150" s="32">
        <v>1094</v>
      </c>
      <c r="D150" s="32">
        <v>5</v>
      </c>
      <c r="E150" s="15">
        <f>INDEX(monster!$H$2:$H$617,MATCH(skill!C150,monster!$A$2:$A$617,0))</f>
        <v>103.87</v>
      </c>
      <c r="F150" s="15">
        <f>INDEX(monster!$I$2:$I$617,MATCH(C150,monster!$A$2:$A$617,0))</f>
        <v>3.12</v>
      </c>
      <c r="G150" s="15" t="b">
        <f t="shared" si="10"/>
        <v>1</v>
      </c>
      <c r="H150" s="32">
        <v>1</v>
      </c>
      <c r="I150" s="15">
        <f>IF(H150&gt;0,HLOOKUP(R150/100,数值规划表!$B$37:$AA$39,3),1)</f>
        <v>1.7999999999999998</v>
      </c>
      <c r="J150" s="31" t="s">
        <v>1625</v>
      </c>
      <c r="K150" s="15">
        <f>INDEX(数值规划表!$B$15:$B$18,MATCH(J150,攻击范围,0))</f>
        <v>1</v>
      </c>
      <c r="L150" s="70">
        <v>0.85</v>
      </c>
      <c r="M150" s="41">
        <v>0</v>
      </c>
      <c r="N150" s="15">
        <f t="shared" si="8"/>
        <v>159</v>
      </c>
      <c r="O150" s="15">
        <f t="shared" si="9"/>
        <v>4.7699999999999996</v>
      </c>
      <c r="P150" s="15">
        <f>IF(G150,INDEX(monster!$J$2:$J$606,MATCH(skill!C150,monster!$A$2:$A$606,0)),Q150)</f>
        <v>5</v>
      </c>
      <c r="Q150" s="70"/>
      <c r="R150" s="33">
        <v>150</v>
      </c>
    </row>
    <row r="151" spans="1:18" s="38" customFormat="1" x14ac:dyDescent="0.15">
      <c r="A151" s="32">
        <v>10150</v>
      </c>
      <c r="B151" s="32" t="s">
        <v>687</v>
      </c>
      <c r="C151" s="32">
        <v>1095</v>
      </c>
      <c r="D151" s="32">
        <v>6</v>
      </c>
      <c r="E151" s="15">
        <f>INDEX(monster!$H$2:$H$617,MATCH(skill!C151,monster!$A$2:$A$617,0))</f>
        <v>116.34</v>
      </c>
      <c r="F151" s="15">
        <f>INDEX(monster!$I$2:$I$617,MATCH(C151,monster!$A$2:$A$617,0))</f>
        <v>3.49</v>
      </c>
      <c r="G151" s="15" t="b">
        <f t="shared" si="10"/>
        <v>1</v>
      </c>
      <c r="H151" s="32">
        <v>1</v>
      </c>
      <c r="I151" s="15">
        <f>IF(H151&gt;0,HLOOKUP(R151/100,数值规划表!$B$37:$AA$39,3),1)</f>
        <v>1.7999999999999998</v>
      </c>
      <c r="J151" s="31" t="s">
        <v>1625</v>
      </c>
      <c r="K151" s="15">
        <f>INDEX(数值规划表!$B$15:$B$18,MATCH(J151,攻击范围,0))</f>
        <v>1</v>
      </c>
      <c r="L151" s="70">
        <v>0.85</v>
      </c>
      <c r="M151" s="41">
        <v>0</v>
      </c>
      <c r="N151" s="15">
        <f t="shared" si="8"/>
        <v>178</v>
      </c>
      <c r="O151" s="15">
        <f t="shared" si="9"/>
        <v>5.34</v>
      </c>
      <c r="P151" s="15">
        <f>IF(G151,INDEX(monster!$J$2:$J$606,MATCH(skill!C151,monster!$A$2:$A$606,0)),Q151)</f>
        <v>5</v>
      </c>
      <c r="Q151" s="70"/>
      <c r="R151" s="33">
        <v>150</v>
      </c>
    </row>
    <row r="152" spans="1:18" s="38" customFormat="1" x14ac:dyDescent="0.15">
      <c r="A152" s="32">
        <v>10151</v>
      </c>
      <c r="B152" s="32" t="s">
        <v>688</v>
      </c>
      <c r="C152" s="32">
        <v>1096</v>
      </c>
      <c r="D152" s="32">
        <v>7</v>
      </c>
      <c r="E152" s="15">
        <f>INDEX(monster!$H$2:$H$617,MATCH(skill!C152,monster!$A$2:$A$617,0))</f>
        <v>130.30000000000001</v>
      </c>
      <c r="F152" s="15">
        <f>INDEX(monster!$I$2:$I$617,MATCH(C152,monster!$A$2:$A$617,0))</f>
        <v>3.91</v>
      </c>
      <c r="G152" s="15" t="b">
        <f t="shared" si="10"/>
        <v>1</v>
      </c>
      <c r="H152" s="32">
        <v>1</v>
      </c>
      <c r="I152" s="15">
        <f>IF(H152&gt;0,HLOOKUP(R152/100,数值规划表!$B$37:$AA$39,3),1)</f>
        <v>1.7999999999999998</v>
      </c>
      <c r="J152" s="31" t="s">
        <v>1625</v>
      </c>
      <c r="K152" s="15">
        <f>INDEX(数值规划表!$B$15:$B$18,MATCH(J152,攻击范围,0))</f>
        <v>1</v>
      </c>
      <c r="L152" s="70">
        <v>0.85</v>
      </c>
      <c r="M152" s="41">
        <v>0</v>
      </c>
      <c r="N152" s="15">
        <f t="shared" si="8"/>
        <v>199</v>
      </c>
      <c r="O152" s="15">
        <f t="shared" si="9"/>
        <v>5.98</v>
      </c>
      <c r="P152" s="15">
        <f>IF(G152,INDEX(monster!$J$2:$J$606,MATCH(skill!C152,monster!$A$2:$A$606,0)),Q152)</f>
        <v>5</v>
      </c>
      <c r="Q152" s="70"/>
      <c r="R152" s="33">
        <v>150</v>
      </c>
    </row>
    <row r="153" spans="1:18" s="38" customFormat="1" x14ac:dyDescent="0.15">
      <c r="A153" s="32">
        <v>10152</v>
      </c>
      <c r="B153" s="32" t="s">
        <v>689</v>
      </c>
      <c r="C153" s="32">
        <v>1097</v>
      </c>
      <c r="D153" s="32">
        <v>8</v>
      </c>
      <c r="E153" s="15">
        <f>INDEX(monster!$H$2:$H$617,MATCH(skill!C153,monster!$A$2:$A$617,0))</f>
        <v>145.93</v>
      </c>
      <c r="F153" s="15">
        <f>INDEX(monster!$I$2:$I$617,MATCH(C153,monster!$A$2:$A$617,0))</f>
        <v>4.38</v>
      </c>
      <c r="G153" s="15" t="b">
        <f t="shared" si="10"/>
        <v>1</v>
      </c>
      <c r="H153" s="32">
        <v>1</v>
      </c>
      <c r="I153" s="15">
        <f>IF(H153&gt;0,HLOOKUP(R153/100,数值规划表!$B$37:$AA$39,3),1)</f>
        <v>1.7999999999999998</v>
      </c>
      <c r="J153" s="31" t="s">
        <v>1625</v>
      </c>
      <c r="K153" s="15">
        <f>INDEX(数值规划表!$B$15:$B$18,MATCH(J153,攻击范围,0))</f>
        <v>1</v>
      </c>
      <c r="L153" s="70">
        <v>0.85</v>
      </c>
      <c r="M153" s="41">
        <v>0</v>
      </c>
      <c r="N153" s="15">
        <f t="shared" si="8"/>
        <v>223</v>
      </c>
      <c r="O153" s="15">
        <f t="shared" si="9"/>
        <v>6.7</v>
      </c>
      <c r="P153" s="15">
        <f>IF(G153,INDEX(monster!$J$2:$J$606,MATCH(skill!C153,monster!$A$2:$A$606,0)),Q153)</f>
        <v>5</v>
      </c>
      <c r="Q153" s="70"/>
      <c r="R153" s="33">
        <v>150</v>
      </c>
    </row>
    <row r="154" spans="1:18" s="38" customFormat="1" x14ac:dyDescent="0.15">
      <c r="A154" s="32">
        <v>10153</v>
      </c>
      <c r="B154" s="32" t="s">
        <v>690</v>
      </c>
      <c r="C154" s="32">
        <v>1098</v>
      </c>
      <c r="D154" s="32">
        <v>9</v>
      </c>
      <c r="E154" s="15">
        <f>INDEX(monster!$H$2:$H$617,MATCH(skill!C154,monster!$A$2:$A$617,0))</f>
        <v>163.44999999999999</v>
      </c>
      <c r="F154" s="15">
        <f>INDEX(monster!$I$2:$I$617,MATCH(C154,monster!$A$2:$A$617,0))</f>
        <v>4.9000000000000004</v>
      </c>
      <c r="G154" s="15" t="b">
        <f t="shared" si="10"/>
        <v>1</v>
      </c>
      <c r="H154" s="32">
        <v>1</v>
      </c>
      <c r="I154" s="15">
        <f>IF(H154&gt;0,HLOOKUP(R154/100,数值规划表!$B$37:$AA$39,3),1)</f>
        <v>1.7999999999999998</v>
      </c>
      <c r="J154" s="31" t="s">
        <v>1625</v>
      </c>
      <c r="K154" s="15">
        <f>INDEX(数值规划表!$B$15:$B$18,MATCH(J154,攻击范围,0))</f>
        <v>1</v>
      </c>
      <c r="L154" s="70">
        <v>0.85</v>
      </c>
      <c r="M154" s="41">
        <v>0</v>
      </c>
      <c r="N154" s="15">
        <f t="shared" si="8"/>
        <v>250</v>
      </c>
      <c r="O154" s="15">
        <f t="shared" si="9"/>
        <v>7.5</v>
      </c>
      <c r="P154" s="15">
        <f>IF(G154,INDEX(monster!$J$2:$J$606,MATCH(skill!C154,monster!$A$2:$A$606,0)),Q154)</f>
        <v>5</v>
      </c>
      <c r="Q154" s="70"/>
      <c r="R154" s="33">
        <v>150</v>
      </c>
    </row>
    <row r="155" spans="1:18" s="38" customFormat="1" x14ac:dyDescent="0.15">
      <c r="A155" s="32">
        <v>10154</v>
      </c>
      <c r="B155" s="32" t="s">
        <v>691</v>
      </c>
      <c r="C155" s="32">
        <v>1099</v>
      </c>
      <c r="D155" s="32">
        <v>10</v>
      </c>
      <c r="E155" s="15">
        <f>INDEX(monster!$H$2:$H$617,MATCH(skill!C155,monster!$A$2:$A$617,0))</f>
        <v>183.06</v>
      </c>
      <c r="F155" s="15">
        <f>INDEX(monster!$I$2:$I$617,MATCH(C155,monster!$A$2:$A$617,0))</f>
        <v>5.49</v>
      </c>
      <c r="G155" s="15" t="b">
        <f t="shared" si="10"/>
        <v>1</v>
      </c>
      <c r="H155" s="32">
        <v>1</v>
      </c>
      <c r="I155" s="15">
        <f>IF(H155&gt;0,HLOOKUP(R155/100,数值规划表!$B$37:$AA$39,3),1)</f>
        <v>1.7999999999999998</v>
      </c>
      <c r="J155" s="31" t="s">
        <v>1625</v>
      </c>
      <c r="K155" s="15">
        <f>INDEX(数值规划表!$B$15:$B$18,MATCH(J155,攻击范围,0))</f>
        <v>1</v>
      </c>
      <c r="L155" s="70">
        <v>0.85</v>
      </c>
      <c r="M155" s="41">
        <v>0</v>
      </c>
      <c r="N155" s="15">
        <f t="shared" si="8"/>
        <v>280</v>
      </c>
      <c r="O155" s="15">
        <f t="shared" si="9"/>
        <v>8.4</v>
      </c>
      <c r="P155" s="15">
        <f>IF(G155,INDEX(monster!$J$2:$J$606,MATCH(skill!C155,monster!$A$2:$A$606,0)),Q155)</f>
        <v>5</v>
      </c>
      <c r="Q155" s="70"/>
      <c r="R155" s="33">
        <v>150</v>
      </c>
    </row>
    <row r="156" spans="1:18" s="38" customFormat="1" x14ac:dyDescent="0.15">
      <c r="A156" s="32">
        <v>10155</v>
      </c>
      <c r="B156" s="32" t="s">
        <v>2804</v>
      </c>
      <c r="C156" s="32">
        <v>1089</v>
      </c>
      <c r="D156" s="32">
        <v>0</v>
      </c>
      <c r="E156" s="15">
        <f>INDEX(数值规划表!$G$79:$G$89,$D156+1)</f>
        <v>310</v>
      </c>
      <c r="F156" s="15">
        <f>INDEX(数值规划表!$H$79:$H$89,$D156+1)</f>
        <v>9.2899999999999991</v>
      </c>
      <c r="G156" s="15" t="b">
        <f t="shared" si="10"/>
        <v>0</v>
      </c>
      <c r="H156" s="32">
        <v>0</v>
      </c>
      <c r="I156" s="15">
        <f>IF(H156&gt;0,HLOOKUP(R156/100,数值规划表!$B$37:$AA$39,3),1)</f>
        <v>1</v>
      </c>
      <c r="J156" s="31" t="s">
        <v>1628</v>
      </c>
      <c r="K156" s="15">
        <f>INDEX(数值规划表!$B$15:$B$18,MATCH(J156,攻击范围,0))</f>
        <v>0.5</v>
      </c>
      <c r="L156" s="30">
        <v>0.15</v>
      </c>
      <c r="M156" s="41">
        <v>0</v>
      </c>
      <c r="N156" s="15">
        <f t="shared" si="8"/>
        <v>23</v>
      </c>
      <c r="O156" s="15">
        <f t="shared" si="9"/>
        <v>0.7</v>
      </c>
      <c r="P156" s="15">
        <f>IF(G156,INDEX(monster!$J$2:$J$606,MATCH(skill!C156,monster!$A$2:$A$606,0)),Q156)</f>
        <v>1</v>
      </c>
      <c r="Q156" s="70">
        <v>1</v>
      </c>
      <c r="R156" s="33">
        <v>1500</v>
      </c>
    </row>
    <row r="157" spans="1:18" s="38" customFormat="1" x14ac:dyDescent="0.15">
      <c r="A157" s="32">
        <v>10156</v>
      </c>
      <c r="B157" s="32" t="s">
        <v>2805</v>
      </c>
      <c r="C157" s="32">
        <v>1090</v>
      </c>
      <c r="D157" s="32">
        <v>1</v>
      </c>
      <c r="E157" s="15">
        <f>INDEX(数值规划表!$G$79:$G$89,$D157+1)</f>
        <v>347</v>
      </c>
      <c r="F157" s="15">
        <f>INDEX(数值规划表!$H$79:$H$89,$D157+1)</f>
        <v>10.4</v>
      </c>
      <c r="G157" s="15" t="b">
        <f t="shared" si="10"/>
        <v>0</v>
      </c>
      <c r="H157" s="32">
        <v>0</v>
      </c>
      <c r="I157" s="15">
        <f>IF(H157&gt;0,HLOOKUP(R157/100,数值规划表!$B$37:$AA$39,3),1)</f>
        <v>1</v>
      </c>
      <c r="J157" s="31" t="s">
        <v>1628</v>
      </c>
      <c r="K157" s="15">
        <f>INDEX(数值规划表!$B$15:$B$18,MATCH(J157,攻击范围,0))</f>
        <v>0.5</v>
      </c>
      <c r="L157" s="70">
        <v>0.15</v>
      </c>
      <c r="M157" s="41">
        <v>0</v>
      </c>
      <c r="N157" s="15">
        <f t="shared" si="8"/>
        <v>26</v>
      </c>
      <c r="O157" s="15">
        <f t="shared" si="9"/>
        <v>0.78</v>
      </c>
      <c r="P157" s="15">
        <f>IF(G157,INDEX(monster!$J$2:$J$606,MATCH(skill!C157,monster!$A$2:$A$606,0)),Q157)</f>
        <v>1</v>
      </c>
      <c r="Q157" s="70">
        <v>1</v>
      </c>
      <c r="R157" s="33">
        <v>1500</v>
      </c>
    </row>
    <row r="158" spans="1:18" s="38" customFormat="1" x14ac:dyDescent="0.15">
      <c r="A158" s="32">
        <v>10157</v>
      </c>
      <c r="B158" s="32" t="s">
        <v>2806</v>
      </c>
      <c r="C158" s="32">
        <v>1091</v>
      </c>
      <c r="D158" s="32">
        <v>2</v>
      </c>
      <c r="E158" s="15">
        <f>INDEX(数值规划表!$G$79:$G$89,$D158+1)</f>
        <v>388</v>
      </c>
      <c r="F158" s="15">
        <f>INDEX(数值规划表!$H$79:$H$89,$D158+1)</f>
        <v>11.65</v>
      </c>
      <c r="G158" s="15" t="b">
        <f t="shared" si="10"/>
        <v>0</v>
      </c>
      <c r="H158" s="32">
        <v>0</v>
      </c>
      <c r="I158" s="15">
        <f>IF(H158&gt;0,HLOOKUP(R158/100,数值规划表!$B$37:$AA$39,3),1)</f>
        <v>1</v>
      </c>
      <c r="J158" s="31" t="s">
        <v>1628</v>
      </c>
      <c r="K158" s="15">
        <f>INDEX(数值规划表!$B$15:$B$18,MATCH(J158,攻击范围,0))</f>
        <v>0.5</v>
      </c>
      <c r="L158" s="70">
        <v>0.15</v>
      </c>
      <c r="M158" s="41">
        <v>0</v>
      </c>
      <c r="N158" s="15">
        <f t="shared" si="8"/>
        <v>29</v>
      </c>
      <c r="O158" s="15">
        <f t="shared" si="9"/>
        <v>0.87</v>
      </c>
      <c r="P158" s="15">
        <f>IF(G158,INDEX(monster!$J$2:$J$606,MATCH(skill!C158,monster!$A$2:$A$606,0)),Q158)</f>
        <v>1</v>
      </c>
      <c r="Q158" s="70">
        <v>1</v>
      </c>
      <c r="R158" s="33">
        <v>1500</v>
      </c>
    </row>
    <row r="159" spans="1:18" s="38" customFormat="1" x14ac:dyDescent="0.15">
      <c r="A159" s="32">
        <v>10158</v>
      </c>
      <c r="B159" s="32" t="s">
        <v>2807</v>
      </c>
      <c r="C159" s="32">
        <v>1092</v>
      </c>
      <c r="D159" s="32">
        <v>3</v>
      </c>
      <c r="E159" s="15">
        <f>INDEX(数值规划表!$G$79:$G$89,$D159+1)</f>
        <v>435</v>
      </c>
      <c r="F159" s="15">
        <f>INDEX(数值规划表!$H$79:$H$89,$D159+1)</f>
        <v>13.05</v>
      </c>
      <c r="G159" s="15" t="b">
        <f t="shared" si="10"/>
        <v>0</v>
      </c>
      <c r="H159" s="32">
        <v>0</v>
      </c>
      <c r="I159" s="15">
        <f>IF(H159&gt;0,HLOOKUP(R159/100,数值规划表!$B$37:$AA$39,3),1)</f>
        <v>1</v>
      </c>
      <c r="J159" s="31" t="s">
        <v>1628</v>
      </c>
      <c r="K159" s="15">
        <f>INDEX(数值规划表!$B$15:$B$18,MATCH(J159,攻击范围,0))</f>
        <v>0.5</v>
      </c>
      <c r="L159" s="70">
        <v>0.15</v>
      </c>
      <c r="M159" s="41">
        <v>0</v>
      </c>
      <c r="N159" s="15">
        <f t="shared" si="8"/>
        <v>33</v>
      </c>
      <c r="O159" s="15">
        <f t="shared" si="9"/>
        <v>0.98</v>
      </c>
      <c r="P159" s="15">
        <f>IF(G159,INDEX(monster!$J$2:$J$606,MATCH(skill!C159,monster!$A$2:$A$606,0)),Q159)</f>
        <v>1</v>
      </c>
      <c r="Q159" s="70">
        <v>1</v>
      </c>
      <c r="R159" s="33">
        <v>1500</v>
      </c>
    </row>
    <row r="160" spans="1:18" s="38" customFormat="1" x14ac:dyDescent="0.15">
      <c r="A160" s="32">
        <v>10159</v>
      </c>
      <c r="B160" s="32" t="s">
        <v>2808</v>
      </c>
      <c r="C160" s="32">
        <v>1093</v>
      </c>
      <c r="D160" s="32">
        <v>4</v>
      </c>
      <c r="E160" s="15">
        <f>INDEX(数值规划表!$G$79:$G$89,$D160+1)</f>
        <v>487</v>
      </c>
      <c r="F160" s="15">
        <f>INDEX(数值规划表!$H$79:$H$89,$D160+1)</f>
        <v>14.61</v>
      </c>
      <c r="G160" s="15" t="b">
        <f t="shared" si="10"/>
        <v>0</v>
      </c>
      <c r="H160" s="32">
        <v>0</v>
      </c>
      <c r="I160" s="15">
        <f>IF(H160&gt;0,HLOOKUP(R160/100,数值规划表!$B$37:$AA$39,3),1)</f>
        <v>1</v>
      </c>
      <c r="J160" s="31" t="s">
        <v>1628</v>
      </c>
      <c r="K160" s="15">
        <f>INDEX(数值规划表!$B$15:$B$18,MATCH(J160,攻击范围,0))</f>
        <v>0.5</v>
      </c>
      <c r="L160" s="70">
        <v>0.15</v>
      </c>
      <c r="M160" s="41">
        <v>0</v>
      </c>
      <c r="N160" s="15">
        <f t="shared" si="8"/>
        <v>37</v>
      </c>
      <c r="O160" s="15">
        <f t="shared" si="9"/>
        <v>1.1000000000000001</v>
      </c>
      <c r="P160" s="15">
        <f>IF(G160,INDEX(monster!$J$2:$J$606,MATCH(skill!C160,monster!$A$2:$A$606,0)),Q160)</f>
        <v>1</v>
      </c>
      <c r="Q160" s="70">
        <v>1</v>
      </c>
      <c r="R160" s="33">
        <v>1500</v>
      </c>
    </row>
    <row r="161" spans="1:18" s="38" customFormat="1" x14ac:dyDescent="0.15">
      <c r="A161" s="32">
        <v>10160</v>
      </c>
      <c r="B161" s="32" t="s">
        <v>2809</v>
      </c>
      <c r="C161" s="32">
        <v>1094</v>
      </c>
      <c r="D161" s="32">
        <v>5</v>
      </c>
      <c r="E161" s="15">
        <f>INDEX(数值规划表!$G$79:$G$89,$D161+1)</f>
        <v>546</v>
      </c>
      <c r="F161" s="15">
        <f>INDEX(数值规划表!$H$79:$H$89,$D161+1)</f>
        <v>16.37</v>
      </c>
      <c r="G161" s="15" t="b">
        <f t="shared" si="10"/>
        <v>0</v>
      </c>
      <c r="H161" s="32">
        <v>0</v>
      </c>
      <c r="I161" s="15">
        <f>IF(H161&gt;0,HLOOKUP(R161/100,数值规划表!$B$37:$AA$39,3),1)</f>
        <v>1</v>
      </c>
      <c r="J161" s="31" t="s">
        <v>1628</v>
      </c>
      <c r="K161" s="15">
        <f>INDEX(数值规划表!$B$15:$B$18,MATCH(J161,攻击范围,0))</f>
        <v>0.5</v>
      </c>
      <c r="L161" s="70">
        <v>0.15</v>
      </c>
      <c r="M161" s="41">
        <v>0</v>
      </c>
      <c r="N161" s="15">
        <f t="shared" si="8"/>
        <v>41</v>
      </c>
      <c r="O161" s="15">
        <f t="shared" si="9"/>
        <v>1.23</v>
      </c>
      <c r="P161" s="15">
        <f>IF(G161,INDEX(monster!$J$2:$J$606,MATCH(skill!C161,monster!$A$2:$A$606,0)),Q161)</f>
        <v>1</v>
      </c>
      <c r="Q161" s="70">
        <v>1</v>
      </c>
      <c r="R161" s="33">
        <v>1500</v>
      </c>
    </row>
    <row r="162" spans="1:18" s="38" customFormat="1" x14ac:dyDescent="0.15">
      <c r="A162" s="32">
        <v>10161</v>
      </c>
      <c r="B162" s="32" t="s">
        <v>2810</v>
      </c>
      <c r="C162" s="32">
        <v>1095</v>
      </c>
      <c r="D162" s="32">
        <v>6</v>
      </c>
      <c r="E162" s="15">
        <f>INDEX(数值规划表!$G$79:$G$89,$D162+1)</f>
        <v>611</v>
      </c>
      <c r="F162" s="15">
        <f>INDEX(数值规划表!$H$79:$H$89,$D162+1)</f>
        <v>18.329999999999998</v>
      </c>
      <c r="G162" s="15" t="b">
        <f t="shared" si="10"/>
        <v>0</v>
      </c>
      <c r="H162" s="32">
        <v>0</v>
      </c>
      <c r="I162" s="15">
        <f>IF(H162&gt;0,HLOOKUP(R162/100,数值规划表!$B$37:$AA$39,3),1)</f>
        <v>1</v>
      </c>
      <c r="J162" s="31" t="s">
        <v>1628</v>
      </c>
      <c r="K162" s="15">
        <f>INDEX(数值规划表!$B$15:$B$18,MATCH(J162,攻击范围,0))</f>
        <v>0.5</v>
      </c>
      <c r="L162" s="70">
        <v>0.15</v>
      </c>
      <c r="M162" s="41">
        <v>0</v>
      </c>
      <c r="N162" s="15">
        <f t="shared" si="8"/>
        <v>46</v>
      </c>
      <c r="O162" s="15">
        <f t="shared" si="9"/>
        <v>1.37</v>
      </c>
      <c r="P162" s="15">
        <f>IF(G162,INDEX(monster!$J$2:$J$606,MATCH(skill!C162,monster!$A$2:$A$606,0)),Q162)</f>
        <v>1</v>
      </c>
      <c r="Q162" s="70">
        <v>1</v>
      </c>
      <c r="R162" s="33">
        <v>1500</v>
      </c>
    </row>
    <row r="163" spans="1:18" s="38" customFormat="1" x14ac:dyDescent="0.15">
      <c r="A163" s="32">
        <v>10162</v>
      </c>
      <c r="B163" s="32" t="s">
        <v>2811</v>
      </c>
      <c r="C163" s="32">
        <v>1096</v>
      </c>
      <c r="D163" s="32">
        <v>7</v>
      </c>
      <c r="E163" s="15">
        <f>INDEX(数值规划表!$G$79:$G$89,$D163+1)</f>
        <v>684</v>
      </c>
      <c r="F163" s="15">
        <f>INDEX(数值规划表!$H$79:$H$89,$D163+1)</f>
        <v>20.53</v>
      </c>
      <c r="G163" s="15" t="b">
        <f t="shared" si="10"/>
        <v>0</v>
      </c>
      <c r="H163" s="32">
        <v>0</v>
      </c>
      <c r="I163" s="15">
        <f>IF(H163&gt;0,HLOOKUP(R163/100,数值规划表!$B$37:$AA$39,3),1)</f>
        <v>1</v>
      </c>
      <c r="J163" s="31" t="s">
        <v>1628</v>
      </c>
      <c r="K163" s="15">
        <f>INDEX(数值规划表!$B$15:$B$18,MATCH(J163,攻击范围,0))</f>
        <v>0.5</v>
      </c>
      <c r="L163" s="70">
        <v>0.15</v>
      </c>
      <c r="M163" s="41">
        <v>0</v>
      </c>
      <c r="N163" s="15">
        <f t="shared" si="8"/>
        <v>51</v>
      </c>
      <c r="O163" s="15">
        <f t="shared" si="9"/>
        <v>1.54</v>
      </c>
      <c r="P163" s="15">
        <f>IF(G163,INDEX(monster!$J$2:$J$606,MATCH(skill!C163,monster!$A$2:$A$606,0)),Q163)</f>
        <v>1</v>
      </c>
      <c r="Q163" s="70">
        <v>1</v>
      </c>
      <c r="R163" s="33">
        <v>1500</v>
      </c>
    </row>
    <row r="164" spans="1:18" s="38" customFormat="1" x14ac:dyDescent="0.15">
      <c r="A164" s="32">
        <v>10163</v>
      </c>
      <c r="B164" s="32" t="s">
        <v>2812</v>
      </c>
      <c r="C164" s="32">
        <v>1097</v>
      </c>
      <c r="D164" s="32">
        <v>8</v>
      </c>
      <c r="E164" s="15">
        <f>INDEX(数值规划表!$G$79:$G$89,$D164+1)</f>
        <v>766</v>
      </c>
      <c r="F164" s="15">
        <f>INDEX(数值规划表!$H$79:$H$89,$D164+1)</f>
        <v>22.99</v>
      </c>
      <c r="G164" s="15" t="b">
        <f t="shared" si="10"/>
        <v>0</v>
      </c>
      <c r="H164" s="32">
        <v>0</v>
      </c>
      <c r="I164" s="15">
        <f>IF(H164&gt;0,HLOOKUP(R164/100,数值规划表!$B$37:$AA$39,3),1)</f>
        <v>1</v>
      </c>
      <c r="J164" s="31" t="s">
        <v>1628</v>
      </c>
      <c r="K164" s="15">
        <f>INDEX(数值规划表!$B$15:$B$18,MATCH(J164,攻击范围,0))</f>
        <v>0.5</v>
      </c>
      <c r="L164" s="70">
        <v>0.15</v>
      </c>
      <c r="M164" s="41">
        <v>0</v>
      </c>
      <c r="N164" s="15">
        <f t="shared" si="8"/>
        <v>57</v>
      </c>
      <c r="O164" s="15">
        <f t="shared" si="9"/>
        <v>1.72</v>
      </c>
      <c r="P164" s="15">
        <f>IF(G164,INDEX(monster!$J$2:$J$606,MATCH(skill!C164,monster!$A$2:$A$606,0)),Q164)</f>
        <v>1</v>
      </c>
      <c r="Q164" s="70">
        <v>1</v>
      </c>
      <c r="R164" s="33">
        <v>1500</v>
      </c>
    </row>
    <row r="165" spans="1:18" s="38" customFormat="1" x14ac:dyDescent="0.15">
      <c r="A165" s="32">
        <v>10164</v>
      </c>
      <c r="B165" s="32" t="s">
        <v>2813</v>
      </c>
      <c r="C165" s="32">
        <v>1098</v>
      </c>
      <c r="D165" s="32">
        <v>9</v>
      </c>
      <c r="E165" s="15">
        <f>INDEX(数值规划表!$G$79:$G$89,$D165+1)</f>
        <v>858</v>
      </c>
      <c r="F165" s="15">
        <f>INDEX(数值规划表!$H$79:$H$89,$D165+1)</f>
        <v>25.75</v>
      </c>
      <c r="G165" s="15" t="b">
        <f t="shared" si="10"/>
        <v>0</v>
      </c>
      <c r="H165" s="32">
        <v>0</v>
      </c>
      <c r="I165" s="15">
        <f>IF(H165&gt;0,HLOOKUP(R165/100,数值规划表!$B$37:$AA$39,3),1)</f>
        <v>1</v>
      </c>
      <c r="J165" s="31" t="s">
        <v>1628</v>
      </c>
      <c r="K165" s="15">
        <f>INDEX(数值规划表!$B$15:$B$18,MATCH(J165,攻击范围,0))</f>
        <v>0.5</v>
      </c>
      <c r="L165" s="70">
        <v>0.15</v>
      </c>
      <c r="M165" s="41">
        <v>0</v>
      </c>
      <c r="N165" s="15">
        <f t="shared" si="8"/>
        <v>64</v>
      </c>
      <c r="O165" s="15">
        <f t="shared" si="9"/>
        <v>1.93</v>
      </c>
      <c r="P165" s="15">
        <f>IF(G165,INDEX(monster!$J$2:$J$606,MATCH(skill!C165,monster!$A$2:$A$606,0)),Q165)</f>
        <v>1</v>
      </c>
      <c r="Q165" s="70">
        <v>1</v>
      </c>
      <c r="R165" s="33">
        <v>1500</v>
      </c>
    </row>
    <row r="166" spans="1:18" s="38" customFormat="1" x14ac:dyDescent="0.15">
      <c r="A166" s="32">
        <v>10165</v>
      </c>
      <c r="B166" s="32" t="s">
        <v>2814</v>
      </c>
      <c r="C166" s="32">
        <v>1099</v>
      </c>
      <c r="D166" s="32">
        <v>10</v>
      </c>
      <c r="E166" s="15">
        <f>INDEX(数值规划表!$G$79:$G$89,$D166+1)</f>
        <v>961</v>
      </c>
      <c r="F166" s="15">
        <f>INDEX(数值规划表!$H$79:$H$89,$D166+1)</f>
        <v>28.84</v>
      </c>
      <c r="G166" s="15" t="b">
        <f t="shared" si="10"/>
        <v>0</v>
      </c>
      <c r="H166" s="32">
        <v>0</v>
      </c>
      <c r="I166" s="15">
        <f>IF(H166&gt;0,HLOOKUP(R166/100,数值规划表!$B$37:$AA$39,3),1)</f>
        <v>1</v>
      </c>
      <c r="J166" s="31" t="s">
        <v>1628</v>
      </c>
      <c r="K166" s="15">
        <f>INDEX(数值规划表!$B$15:$B$18,MATCH(J166,攻击范围,0))</f>
        <v>0.5</v>
      </c>
      <c r="L166" s="70">
        <v>0.15</v>
      </c>
      <c r="M166" s="41">
        <v>0</v>
      </c>
      <c r="N166" s="15">
        <f t="shared" si="8"/>
        <v>72</v>
      </c>
      <c r="O166" s="15">
        <f t="shared" si="9"/>
        <v>2.16</v>
      </c>
      <c r="P166" s="15">
        <f>IF(G166,INDEX(monster!$J$2:$J$606,MATCH(skill!C166,monster!$A$2:$A$606,0)),Q166)</f>
        <v>1</v>
      </c>
      <c r="Q166" s="70">
        <v>1</v>
      </c>
      <c r="R166" s="33">
        <v>1500</v>
      </c>
    </row>
    <row r="167" spans="1:18" s="38" customFormat="1" x14ac:dyDescent="0.15">
      <c r="A167" s="32">
        <v>10166</v>
      </c>
      <c r="B167" s="32" t="s">
        <v>2815</v>
      </c>
      <c r="C167" s="32">
        <v>1105</v>
      </c>
      <c r="D167" s="32">
        <v>0</v>
      </c>
      <c r="E167" s="15">
        <f>INDEX(monster!$H$2:$H$617,MATCH(skill!C167,monster!$A$2:$A$617,0))</f>
        <v>51.87</v>
      </c>
      <c r="F167" s="15">
        <f>INDEX(monster!$I$2:$I$617,MATCH(C167,monster!$A$2:$A$617,0))</f>
        <v>1.56</v>
      </c>
      <c r="G167" s="15" t="b">
        <f t="shared" si="10"/>
        <v>1</v>
      </c>
      <c r="H167" s="32">
        <v>1</v>
      </c>
      <c r="I167" s="15">
        <f>IF(H167&gt;0,HLOOKUP(R167/100,数值规划表!$B$37:$AA$39,3),1)</f>
        <v>1.7999999999999998</v>
      </c>
      <c r="J167" s="31" t="s">
        <v>1625</v>
      </c>
      <c r="K167" s="15">
        <f>INDEX(数值规划表!$B$15:$B$18,MATCH(J167,攻击范围,0))</f>
        <v>1</v>
      </c>
      <c r="L167" s="30">
        <v>0.6</v>
      </c>
      <c r="M167" s="41">
        <v>0</v>
      </c>
      <c r="N167" s="15">
        <f t="shared" si="8"/>
        <v>56</v>
      </c>
      <c r="O167" s="15">
        <f t="shared" si="9"/>
        <v>1.68</v>
      </c>
      <c r="P167" s="15">
        <f>IF(G167,INDEX(monster!$J$2:$J$606,MATCH(skill!C167,monster!$A$2:$A$606,0)),Q167)</f>
        <v>5</v>
      </c>
      <c r="Q167" s="70"/>
      <c r="R167" s="33">
        <v>150</v>
      </c>
    </row>
    <row r="168" spans="1:18" s="38" customFormat="1" x14ac:dyDescent="0.15">
      <c r="A168" s="32">
        <v>10167</v>
      </c>
      <c r="B168" s="32" t="s">
        <v>2816</v>
      </c>
      <c r="C168" s="32">
        <v>1106</v>
      </c>
      <c r="D168" s="32">
        <v>1</v>
      </c>
      <c r="E168" s="15">
        <f>INDEX(monster!$H$2:$H$617,MATCH(skill!C168,monster!$A$2:$A$617,0))</f>
        <v>58.09</v>
      </c>
      <c r="F168" s="15">
        <f>INDEX(monster!$I$2:$I$617,MATCH(C168,monster!$A$2:$A$617,0))</f>
        <v>1.74</v>
      </c>
      <c r="G168" s="15" t="b">
        <f t="shared" si="10"/>
        <v>1</v>
      </c>
      <c r="H168" s="32">
        <v>1</v>
      </c>
      <c r="I168" s="15">
        <f>IF(H168&gt;0,HLOOKUP(R168/100,数值规划表!$B$37:$AA$39,3),1)</f>
        <v>1.7999999999999998</v>
      </c>
      <c r="J168" s="31" t="s">
        <v>1625</v>
      </c>
      <c r="K168" s="15">
        <f>INDEX(数值规划表!$B$15:$B$18,MATCH(J168,攻击范围,0))</f>
        <v>1</v>
      </c>
      <c r="L168" s="70">
        <v>0.6</v>
      </c>
      <c r="M168" s="41">
        <v>0</v>
      </c>
      <c r="N168" s="15">
        <f t="shared" si="8"/>
        <v>63</v>
      </c>
      <c r="O168" s="15">
        <f t="shared" si="9"/>
        <v>1.88</v>
      </c>
      <c r="P168" s="15">
        <f>IF(G168,INDEX(monster!$J$2:$J$606,MATCH(skill!C168,monster!$A$2:$A$606,0)),Q168)</f>
        <v>5</v>
      </c>
      <c r="Q168" s="70"/>
      <c r="R168" s="33">
        <v>150</v>
      </c>
    </row>
    <row r="169" spans="1:18" s="38" customFormat="1" x14ac:dyDescent="0.15">
      <c r="A169" s="32">
        <v>10168</v>
      </c>
      <c r="B169" s="32" t="s">
        <v>692</v>
      </c>
      <c r="C169" s="32">
        <v>1107</v>
      </c>
      <c r="D169" s="32">
        <v>2</v>
      </c>
      <c r="E169" s="15">
        <f>INDEX(monster!$H$2:$H$617,MATCH(skill!C169,monster!$A$2:$A$617,0))</f>
        <v>65.069999999999993</v>
      </c>
      <c r="F169" s="15">
        <f>INDEX(monster!$I$2:$I$617,MATCH(C169,monster!$A$2:$A$617,0))</f>
        <v>1.95</v>
      </c>
      <c r="G169" s="15" t="b">
        <f t="shared" si="10"/>
        <v>1</v>
      </c>
      <c r="H169" s="32">
        <v>1</v>
      </c>
      <c r="I169" s="15">
        <f>IF(H169&gt;0,HLOOKUP(R169/100,数值规划表!$B$37:$AA$39,3),1)</f>
        <v>1.7999999999999998</v>
      </c>
      <c r="J169" s="31" t="s">
        <v>1625</v>
      </c>
      <c r="K169" s="15">
        <f>INDEX(数值规划表!$B$15:$B$18,MATCH(J169,攻击范围,0))</f>
        <v>1</v>
      </c>
      <c r="L169" s="70">
        <v>0.6</v>
      </c>
      <c r="M169" s="41">
        <v>0</v>
      </c>
      <c r="N169" s="15">
        <f t="shared" si="8"/>
        <v>70</v>
      </c>
      <c r="O169" s="15">
        <f t="shared" si="9"/>
        <v>2.11</v>
      </c>
      <c r="P169" s="15">
        <f>IF(G169,INDEX(monster!$J$2:$J$606,MATCH(skill!C169,monster!$A$2:$A$606,0)),Q169)</f>
        <v>5</v>
      </c>
      <c r="Q169" s="70"/>
      <c r="R169" s="33">
        <v>150</v>
      </c>
    </row>
    <row r="170" spans="1:18" s="38" customFormat="1" x14ac:dyDescent="0.15">
      <c r="A170" s="32">
        <v>10169</v>
      </c>
      <c r="B170" s="32" t="s">
        <v>693</v>
      </c>
      <c r="C170" s="32">
        <v>1108</v>
      </c>
      <c r="D170" s="32">
        <v>3</v>
      </c>
      <c r="E170" s="15">
        <f>INDEX(monster!$H$2:$H$617,MATCH(skill!C170,monster!$A$2:$A$617,0))</f>
        <v>72.87</v>
      </c>
      <c r="F170" s="15">
        <f>INDEX(monster!$I$2:$I$617,MATCH(C170,monster!$A$2:$A$617,0))</f>
        <v>2.19</v>
      </c>
      <c r="G170" s="15" t="b">
        <f t="shared" si="10"/>
        <v>1</v>
      </c>
      <c r="H170" s="32">
        <v>1</v>
      </c>
      <c r="I170" s="15">
        <f>IF(H170&gt;0,HLOOKUP(R170/100,数值规划表!$B$37:$AA$39,3),1)</f>
        <v>1.7999999999999998</v>
      </c>
      <c r="J170" s="31" t="s">
        <v>1625</v>
      </c>
      <c r="K170" s="15">
        <f>INDEX(数值规划表!$B$15:$B$18,MATCH(J170,攻击范围,0))</f>
        <v>1</v>
      </c>
      <c r="L170" s="70">
        <v>0.6</v>
      </c>
      <c r="M170" s="41">
        <v>0</v>
      </c>
      <c r="N170" s="15">
        <f t="shared" si="8"/>
        <v>79</v>
      </c>
      <c r="O170" s="15">
        <f t="shared" si="9"/>
        <v>2.37</v>
      </c>
      <c r="P170" s="15">
        <f>IF(G170,INDEX(monster!$J$2:$J$606,MATCH(skill!C170,monster!$A$2:$A$606,0)),Q170)</f>
        <v>5</v>
      </c>
      <c r="Q170" s="70"/>
      <c r="R170" s="33">
        <v>150</v>
      </c>
    </row>
    <row r="171" spans="1:18" s="38" customFormat="1" x14ac:dyDescent="0.15">
      <c r="A171" s="32">
        <v>10170</v>
      </c>
      <c r="B171" s="32" t="s">
        <v>694</v>
      </c>
      <c r="C171" s="32">
        <v>1109</v>
      </c>
      <c r="D171" s="32">
        <v>4</v>
      </c>
      <c r="E171" s="15">
        <f>INDEX(monster!$H$2:$H$617,MATCH(skill!C171,monster!$A$2:$A$617,0))</f>
        <v>81.62</v>
      </c>
      <c r="F171" s="15">
        <f>INDEX(monster!$I$2:$I$617,MATCH(C171,monster!$A$2:$A$617,0))</f>
        <v>2.4500000000000002</v>
      </c>
      <c r="G171" s="15" t="b">
        <f t="shared" si="10"/>
        <v>1</v>
      </c>
      <c r="H171" s="32">
        <v>1</v>
      </c>
      <c r="I171" s="15">
        <f>IF(H171&gt;0,HLOOKUP(R171/100,数值规划表!$B$37:$AA$39,3),1)</f>
        <v>1.7999999999999998</v>
      </c>
      <c r="J171" s="31" t="s">
        <v>1625</v>
      </c>
      <c r="K171" s="15">
        <f>INDEX(数值规划表!$B$15:$B$18,MATCH(J171,攻击范围,0))</f>
        <v>1</v>
      </c>
      <c r="L171" s="70">
        <v>0.6</v>
      </c>
      <c r="M171" s="41">
        <v>0</v>
      </c>
      <c r="N171" s="15">
        <f t="shared" si="8"/>
        <v>88</v>
      </c>
      <c r="O171" s="15">
        <f t="shared" si="9"/>
        <v>2.65</v>
      </c>
      <c r="P171" s="15">
        <f>IF(G171,INDEX(monster!$J$2:$J$606,MATCH(skill!C171,monster!$A$2:$A$606,0)),Q171)</f>
        <v>5</v>
      </c>
      <c r="Q171" s="70"/>
      <c r="R171" s="33">
        <v>150</v>
      </c>
    </row>
    <row r="172" spans="1:18" s="38" customFormat="1" x14ac:dyDescent="0.15">
      <c r="A172" s="32">
        <v>10171</v>
      </c>
      <c r="B172" s="32" t="s">
        <v>695</v>
      </c>
      <c r="C172" s="32">
        <v>1110</v>
      </c>
      <c r="D172" s="32">
        <v>5</v>
      </c>
      <c r="E172" s="15">
        <f>INDEX(monster!$H$2:$H$617,MATCH(skill!C172,monster!$A$2:$A$617,0))</f>
        <v>91.41</v>
      </c>
      <c r="F172" s="15">
        <f>INDEX(monster!$I$2:$I$617,MATCH(C172,monster!$A$2:$A$617,0))</f>
        <v>2.74</v>
      </c>
      <c r="G172" s="15" t="b">
        <f t="shared" si="10"/>
        <v>1</v>
      </c>
      <c r="H172" s="32">
        <v>1</v>
      </c>
      <c r="I172" s="15">
        <f>IF(H172&gt;0,HLOOKUP(R172/100,数值规划表!$B$37:$AA$39,3),1)</f>
        <v>1.7999999999999998</v>
      </c>
      <c r="J172" s="31" t="s">
        <v>1625</v>
      </c>
      <c r="K172" s="15">
        <f>INDEX(数值规划表!$B$15:$B$18,MATCH(J172,攻击范围,0))</f>
        <v>1</v>
      </c>
      <c r="L172" s="70">
        <v>0.6</v>
      </c>
      <c r="M172" s="41">
        <v>0</v>
      </c>
      <c r="N172" s="15">
        <f t="shared" si="8"/>
        <v>99</v>
      </c>
      <c r="O172" s="15">
        <f t="shared" si="9"/>
        <v>2.96</v>
      </c>
      <c r="P172" s="15">
        <f>IF(G172,INDEX(monster!$J$2:$J$606,MATCH(skill!C172,monster!$A$2:$A$606,0)),Q172)</f>
        <v>5</v>
      </c>
      <c r="Q172" s="70"/>
      <c r="R172" s="33">
        <v>150</v>
      </c>
    </row>
    <row r="173" spans="1:18" s="38" customFormat="1" x14ac:dyDescent="0.15">
      <c r="A173" s="32">
        <v>10172</v>
      </c>
      <c r="B173" s="32" t="s">
        <v>696</v>
      </c>
      <c r="C173" s="32">
        <v>1111</v>
      </c>
      <c r="D173" s="32">
        <v>6</v>
      </c>
      <c r="E173" s="15">
        <f>INDEX(monster!$H$2:$H$617,MATCH(skill!C173,monster!$A$2:$A$617,0))</f>
        <v>102.38</v>
      </c>
      <c r="F173" s="15">
        <f>INDEX(monster!$I$2:$I$617,MATCH(C173,monster!$A$2:$A$617,0))</f>
        <v>3.07</v>
      </c>
      <c r="G173" s="15" t="b">
        <f t="shared" si="10"/>
        <v>1</v>
      </c>
      <c r="H173" s="32">
        <v>1</v>
      </c>
      <c r="I173" s="15">
        <f>IF(H173&gt;0,HLOOKUP(R173/100,数值规划表!$B$37:$AA$39,3),1)</f>
        <v>1.7999999999999998</v>
      </c>
      <c r="J173" s="31" t="s">
        <v>1625</v>
      </c>
      <c r="K173" s="15">
        <f>INDEX(数值规划表!$B$15:$B$18,MATCH(J173,攻击范围,0))</f>
        <v>1</v>
      </c>
      <c r="L173" s="70">
        <v>0.6</v>
      </c>
      <c r="M173" s="41">
        <v>0</v>
      </c>
      <c r="N173" s="15">
        <f t="shared" si="8"/>
        <v>111</v>
      </c>
      <c r="O173" s="15">
        <f t="shared" si="9"/>
        <v>3.32</v>
      </c>
      <c r="P173" s="15">
        <f>IF(G173,INDEX(monster!$J$2:$J$606,MATCH(skill!C173,monster!$A$2:$A$606,0)),Q173)</f>
        <v>5</v>
      </c>
      <c r="Q173" s="70"/>
      <c r="R173" s="33">
        <v>150</v>
      </c>
    </row>
    <row r="174" spans="1:18" s="38" customFormat="1" x14ac:dyDescent="0.15">
      <c r="A174" s="32">
        <v>10173</v>
      </c>
      <c r="B174" s="32" t="s">
        <v>697</v>
      </c>
      <c r="C174" s="32">
        <v>1112</v>
      </c>
      <c r="D174" s="32">
        <v>7</v>
      </c>
      <c r="E174" s="15">
        <f>INDEX(monster!$H$2:$H$617,MATCH(skill!C174,monster!$A$2:$A$617,0))</f>
        <v>114.67</v>
      </c>
      <c r="F174" s="15">
        <f>INDEX(monster!$I$2:$I$617,MATCH(C174,monster!$A$2:$A$617,0))</f>
        <v>3.44</v>
      </c>
      <c r="G174" s="15" t="b">
        <f t="shared" si="10"/>
        <v>1</v>
      </c>
      <c r="H174" s="32">
        <v>1</v>
      </c>
      <c r="I174" s="15">
        <f>IF(H174&gt;0,HLOOKUP(R174/100,数值规划表!$B$37:$AA$39,3),1)</f>
        <v>1.7999999999999998</v>
      </c>
      <c r="J174" s="31" t="s">
        <v>1625</v>
      </c>
      <c r="K174" s="15">
        <f>INDEX(数值规划表!$B$15:$B$18,MATCH(J174,攻击范围,0))</f>
        <v>1</v>
      </c>
      <c r="L174" s="70">
        <v>0.6</v>
      </c>
      <c r="M174" s="41">
        <v>0</v>
      </c>
      <c r="N174" s="15">
        <f t="shared" si="8"/>
        <v>124</v>
      </c>
      <c r="O174" s="15">
        <f t="shared" si="9"/>
        <v>3.72</v>
      </c>
      <c r="P174" s="15">
        <f>IF(G174,INDEX(monster!$J$2:$J$606,MATCH(skill!C174,monster!$A$2:$A$606,0)),Q174)</f>
        <v>5</v>
      </c>
      <c r="Q174" s="70"/>
      <c r="R174" s="33">
        <v>150</v>
      </c>
    </row>
    <row r="175" spans="1:18" s="38" customFormat="1" x14ac:dyDescent="0.15">
      <c r="A175" s="32">
        <v>10174</v>
      </c>
      <c r="B175" s="32" t="s">
        <v>698</v>
      </c>
      <c r="C175" s="32">
        <v>1113</v>
      </c>
      <c r="D175" s="32">
        <v>8</v>
      </c>
      <c r="E175" s="15">
        <f>INDEX(monster!$H$2:$H$617,MATCH(skill!C175,monster!$A$2:$A$617,0))</f>
        <v>128.43</v>
      </c>
      <c r="F175" s="15">
        <f>INDEX(monster!$I$2:$I$617,MATCH(C175,monster!$A$2:$A$617,0))</f>
        <v>3.85</v>
      </c>
      <c r="G175" s="15" t="b">
        <f t="shared" si="10"/>
        <v>1</v>
      </c>
      <c r="H175" s="32">
        <v>1</v>
      </c>
      <c r="I175" s="15">
        <f>IF(H175&gt;0,HLOOKUP(R175/100,数值规划表!$B$37:$AA$39,3),1)</f>
        <v>1.7999999999999998</v>
      </c>
      <c r="J175" s="31" t="s">
        <v>1625</v>
      </c>
      <c r="K175" s="15">
        <f>INDEX(数值规划表!$B$15:$B$18,MATCH(J175,攻击范围,0))</f>
        <v>1</v>
      </c>
      <c r="L175" s="70">
        <v>0.6</v>
      </c>
      <c r="M175" s="41">
        <v>0</v>
      </c>
      <c r="N175" s="15">
        <f t="shared" si="8"/>
        <v>139</v>
      </c>
      <c r="O175" s="15">
        <f t="shared" si="9"/>
        <v>4.16</v>
      </c>
      <c r="P175" s="15">
        <f>IF(G175,INDEX(monster!$J$2:$J$606,MATCH(skill!C175,monster!$A$2:$A$606,0)),Q175)</f>
        <v>5</v>
      </c>
      <c r="Q175" s="70"/>
      <c r="R175" s="33">
        <v>150</v>
      </c>
    </row>
    <row r="176" spans="1:18" s="38" customFormat="1" x14ac:dyDescent="0.15">
      <c r="A176" s="32">
        <v>10175</v>
      </c>
      <c r="B176" s="32" t="s">
        <v>699</v>
      </c>
      <c r="C176" s="32">
        <v>1114</v>
      </c>
      <c r="D176" s="32">
        <v>9</v>
      </c>
      <c r="E176" s="15">
        <f>INDEX(monster!$H$2:$H$617,MATCH(skill!C176,monster!$A$2:$A$617,0))</f>
        <v>143.84</v>
      </c>
      <c r="F176" s="15">
        <f>INDEX(monster!$I$2:$I$617,MATCH(C176,monster!$A$2:$A$617,0))</f>
        <v>4.32</v>
      </c>
      <c r="G176" s="15" t="b">
        <f t="shared" si="10"/>
        <v>1</v>
      </c>
      <c r="H176" s="32">
        <v>1</v>
      </c>
      <c r="I176" s="15">
        <f>IF(H176&gt;0,HLOOKUP(R176/100,数值规划表!$B$37:$AA$39,3),1)</f>
        <v>1.7999999999999998</v>
      </c>
      <c r="J176" s="31" t="s">
        <v>1625</v>
      </c>
      <c r="K176" s="15">
        <f>INDEX(数值规划表!$B$15:$B$18,MATCH(J176,攻击范围,0))</f>
        <v>1</v>
      </c>
      <c r="L176" s="70">
        <v>0.6</v>
      </c>
      <c r="M176" s="41">
        <v>0</v>
      </c>
      <c r="N176" s="15">
        <f t="shared" si="8"/>
        <v>155</v>
      </c>
      <c r="O176" s="15">
        <f t="shared" si="9"/>
        <v>4.67</v>
      </c>
      <c r="P176" s="15">
        <f>IF(G176,INDEX(monster!$J$2:$J$606,MATCH(skill!C176,monster!$A$2:$A$606,0)),Q176)</f>
        <v>5</v>
      </c>
      <c r="Q176" s="70"/>
      <c r="R176" s="33">
        <v>150</v>
      </c>
    </row>
    <row r="177" spans="1:18" s="38" customFormat="1" x14ac:dyDescent="0.15">
      <c r="A177" s="32">
        <v>10176</v>
      </c>
      <c r="B177" s="32" t="s">
        <v>700</v>
      </c>
      <c r="C177" s="32">
        <v>1115</v>
      </c>
      <c r="D177" s="32">
        <v>10</v>
      </c>
      <c r="E177" s="15">
        <f>INDEX(monster!$H$2:$H$617,MATCH(skill!C177,monster!$A$2:$A$617,0))</f>
        <v>161.1</v>
      </c>
      <c r="F177" s="15">
        <f>INDEX(monster!$I$2:$I$617,MATCH(C177,monster!$A$2:$A$617,0))</f>
        <v>4.83</v>
      </c>
      <c r="G177" s="15" t="b">
        <f t="shared" si="10"/>
        <v>1</v>
      </c>
      <c r="H177" s="32">
        <v>1</v>
      </c>
      <c r="I177" s="15">
        <f>IF(H177&gt;0,HLOOKUP(R177/100,数值规划表!$B$37:$AA$39,3),1)</f>
        <v>1.7999999999999998</v>
      </c>
      <c r="J177" s="31" t="s">
        <v>1625</v>
      </c>
      <c r="K177" s="15">
        <f>INDEX(数值规划表!$B$15:$B$18,MATCH(J177,攻击范围,0))</f>
        <v>1</v>
      </c>
      <c r="L177" s="70">
        <v>0.6</v>
      </c>
      <c r="M177" s="41">
        <v>0</v>
      </c>
      <c r="N177" s="15">
        <f t="shared" si="8"/>
        <v>174</v>
      </c>
      <c r="O177" s="15">
        <f t="shared" si="9"/>
        <v>5.22</v>
      </c>
      <c r="P177" s="15">
        <f>IF(G177,INDEX(monster!$J$2:$J$606,MATCH(skill!C177,monster!$A$2:$A$606,0)),Q177)</f>
        <v>5</v>
      </c>
      <c r="Q177" s="70"/>
      <c r="R177" s="33">
        <v>150</v>
      </c>
    </row>
    <row r="178" spans="1:18" s="38" customFormat="1" x14ac:dyDescent="0.15">
      <c r="A178" s="32">
        <v>10177</v>
      </c>
      <c r="B178" s="32" t="s">
        <v>2817</v>
      </c>
      <c r="C178" s="32">
        <v>1105</v>
      </c>
      <c r="D178" s="32">
        <v>0</v>
      </c>
      <c r="E178" s="15">
        <f>INDEX(数值规划表!$G$79:$G$89,$D178+1)</f>
        <v>310</v>
      </c>
      <c r="F178" s="15">
        <f>INDEX(数值规划表!$H$79:$H$89,$D178+1)</f>
        <v>9.2899999999999991</v>
      </c>
      <c r="G178" s="15" t="b">
        <f t="shared" si="10"/>
        <v>0</v>
      </c>
      <c r="H178" s="32">
        <v>0</v>
      </c>
      <c r="I178" s="15">
        <f>IF(H178&gt;0,HLOOKUP(R178/100,数值规划表!$B$37:$AA$39,3),1)</f>
        <v>1</v>
      </c>
      <c r="J178" s="31" t="s">
        <v>1627</v>
      </c>
      <c r="K178" s="15">
        <f>INDEX(数值规划表!$B$15:$B$18,MATCH(J178,攻击范围,0))</f>
        <v>0.7</v>
      </c>
      <c r="L178" s="30">
        <f>1/M178</f>
        <v>0.05</v>
      </c>
      <c r="M178" s="41">
        <v>20</v>
      </c>
      <c r="N178" s="15">
        <f t="shared" si="8"/>
        <v>11</v>
      </c>
      <c r="O178" s="15">
        <f t="shared" si="9"/>
        <v>0.33</v>
      </c>
      <c r="P178" s="15">
        <f>IF(G178,INDEX(monster!$J$2:$J$606,MATCH(skill!C178,monster!$A$2:$A$606,0)),Q178)</f>
        <v>6</v>
      </c>
      <c r="Q178" s="70">
        <v>6</v>
      </c>
      <c r="R178" s="33">
        <v>1500</v>
      </c>
    </row>
    <row r="179" spans="1:18" s="38" customFormat="1" x14ac:dyDescent="0.15">
      <c r="A179" s="32">
        <v>10178</v>
      </c>
      <c r="B179" s="32" t="s">
        <v>2818</v>
      </c>
      <c r="C179" s="32">
        <v>1106</v>
      </c>
      <c r="D179" s="32">
        <v>1</v>
      </c>
      <c r="E179" s="15">
        <f>INDEX(数值规划表!$G$79:$G$89,$D179+1)</f>
        <v>347</v>
      </c>
      <c r="F179" s="15">
        <f>INDEX(数值规划表!$H$79:$H$89,$D179+1)</f>
        <v>10.4</v>
      </c>
      <c r="G179" s="15" t="b">
        <f t="shared" si="10"/>
        <v>0</v>
      </c>
      <c r="H179" s="32">
        <v>0</v>
      </c>
      <c r="I179" s="15">
        <f>IF(H179&gt;0,HLOOKUP(R179/100,数值规划表!$B$37:$AA$39,3),1)</f>
        <v>1</v>
      </c>
      <c r="J179" s="31" t="s">
        <v>1627</v>
      </c>
      <c r="K179" s="15">
        <f>INDEX(数值规划表!$B$15:$B$18,MATCH(J179,攻击范围,0))</f>
        <v>0.7</v>
      </c>
      <c r="L179" s="70">
        <f t="shared" ref="L179:L188" si="11">1/M179</f>
        <v>0.05</v>
      </c>
      <c r="M179" s="70">
        <v>20</v>
      </c>
      <c r="N179" s="15">
        <f t="shared" si="8"/>
        <v>12</v>
      </c>
      <c r="O179" s="15">
        <f t="shared" si="9"/>
        <v>0.36</v>
      </c>
      <c r="P179" s="15">
        <f>IF(G179,INDEX(monster!$J$2:$J$606,MATCH(skill!C179,monster!$A$2:$A$606,0)),Q179)</f>
        <v>6</v>
      </c>
      <c r="Q179" s="70">
        <v>6</v>
      </c>
      <c r="R179" s="33">
        <v>1500</v>
      </c>
    </row>
    <row r="180" spans="1:18" s="38" customFormat="1" x14ac:dyDescent="0.15">
      <c r="A180" s="32">
        <v>10179</v>
      </c>
      <c r="B180" s="32" t="s">
        <v>701</v>
      </c>
      <c r="C180" s="32">
        <v>1107</v>
      </c>
      <c r="D180" s="32">
        <v>2</v>
      </c>
      <c r="E180" s="15">
        <f>INDEX(数值规划表!$G$79:$G$89,$D180+1)</f>
        <v>388</v>
      </c>
      <c r="F180" s="15">
        <f>INDEX(数值规划表!$H$79:$H$89,$D180+1)</f>
        <v>11.65</v>
      </c>
      <c r="G180" s="15" t="b">
        <f t="shared" si="10"/>
        <v>0</v>
      </c>
      <c r="H180" s="32">
        <v>0</v>
      </c>
      <c r="I180" s="15">
        <f>IF(H180&gt;0,HLOOKUP(R180/100,数值规划表!$B$37:$AA$39,3),1)</f>
        <v>1</v>
      </c>
      <c r="J180" s="31" t="s">
        <v>1627</v>
      </c>
      <c r="K180" s="15">
        <f>INDEX(数值规划表!$B$15:$B$18,MATCH(J180,攻击范围,0))</f>
        <v>0.7</v>
      </c>
      <c r="L180" s="70">
        <f t="shared" si="11"/>
        <v>0.05</v>
      </c>
      <c r="M180" s="70">
        <v>20</v>
      </c>
      <c r="N180" s="15">
        <f t="shared" si="8"/>
        <v>14</v>
      </c>
      <c r="O180" s="15">
        <f t="shared" si="9"/>
        <v>0.41</v>
      </c>
      <c r="P180" s="15">
        <f>IF(G180,INDEX(monster!$J$2:$J$606,MATCH(skill!C180,monster!$A$2:$A$606,0)),Q180)</f>
        <v>6</v>
      </c>
      <c r="Q180" s="70">
        <v>6</v>
      </c>
      <c r="R180" s="33">
        <v>1500</v>
      </c>
    </row>
    <row r="181" spans="1:18" s="38" customFormat="1" x14ac:dyDescent="0.15">
      <c r="A181" s="32">
        <v>10180</v>
      </c>
      <c r="B181" s="32" t="s">
        <v>702</v>
      </c>
      <c r="C181" s="32">
        <v>1108</v>
      </c>
      <c r="D181" s="32">
        <v>3</v>
      </c>
      <c r="E181" s="15">
        <f>INDEX(数值规划表!$G$79:$G$89,$D181+1)</f>
        <v>435</v>
      </c>
      <c r="F181" s="15">
        <f>INDEX(数值规划表!$H$79:$H$89,$D181+1)</f>
        <v>13.05</v>
      </c>
      <c r="G181" s="15" t="b">
        <f t="shared" si="10"/>
        <v>0</v>
      </c>
      <c r="H181" s="32">
        <v>0</v>
      </c>
      <c r="I181" s="15">
        <f>IF(H181&gt;0,HLOOKUP(R181/100,数值规划表!$B$37:$AA$39,3),1)</f>
        <v>1</v>
      </c>
      <c r="J181" s="31" t="s">
        <v>1627</v>
      </c>
      <c r="K181" s="15">
        <f>INDEX(数值规划表!$B$15:$B$18,MATCH(J181,攻击范围,0))</f>
        <v>0.7</v>
      </c>
      <c r="L181" s="70">
        <f t="shared" si="11"/>
        <v>0.05</v>
      </c>
      <c r="M181" s="70">
        <v>20</v>
      </c>
      <c r="N181" s="15">
        <f t="shared" si="8"/>
        <v>15</v>
      </c>
      <c r="O181" s="15">
        <f t="shared" si="9"/>
        <v>0.46</v>
      </c>
      <c r="P181" s="15">
        <f>IF(G181,INDEX(monster!$J$2:$J$606,MATCH(skill!C181,monster!$A$2:$A$606,0)),Q181)</f>
        <v>6</v>
      </c>
      <c r="Q181" s="70">
        <v>6</v>
      </c>
      <c r="R181" s="33">
        <v>1500</v>
      </c>
    </row>
    <row r="182" spans="1:18" s="38" customFormat="1" x14ac:dyDescent="0.15">
      <c r="A182" s="32">
        <v>10181</v>
      </c>
      <c r="B182" s="32" t="s">
        <v>703</v>
      </c>
      <c r="C182" s="32">
        <v>1109</v>
      </c>
      <c r="D182" s="32">
        <v>4</v>
      </c>
      <c r="E182" s="15">
        <f>INDEX(数值规划表!$G$79:$G$89,$D182+1)</f>
        <v>487</v>
      </c>
      <c r="F182" s="15">
        <f>INDEX(数值规划表!$H$79:$H$89,$D182+1)</f>
        <v>14.61</v>
      </c>
      <c r="G182" s="15" t="b">
        <f t="shared" si="10"/>
        <v>0</v>
      </c>
      <c r="H182" s="32">
        <v>0</v>
      </c>
      <c r="I182" s="15">
        <f>IF(H182&gt;0,HLOOKUP(R182/100,数值规划表!$B$37:$AA$39,3),1)</f>
        <v>1</v>
      </c>
      <c r="J182" s="31" t="s">
        <v>1627</v>
      </c>
      <c r="K182" s="15">
        <f>INDEX(数值规划表!$B$15:$B$18,MATCH(J182,攻击范围,0))</f>
        <v>0.7</v>
      </c>
      <c r="L182" s="70">
        <f t="shared" si="11"/>
        <v>0.05</v>
      </c>
      <c r="M182" s="70">
        <v>20</v>
      </c>
      <c r="N182" s="15">
        <f t="shared" si="8"/>
        <v>17</v>
      </c>
      <c r="O182" s="15">
        <f t="shared" si="9"/>
        <v>0.51</v>
      </c>
      <c r="P182" s="15">
        <f>IF(G182,INDEX(monster!$J$2:$J$606,MATCH(skill!C182,monster!$A$2:$A$606,0)),Q182)</f>
        <v>6</v>
      </c>
      <c r="Q182" s="70">
        <v>6</v>
      </c>
      <c r="R182" s="33">
        <v>1500</v>
      </c>
    </row>
    <row r="183" spans="1:18" s="38" customFormat="1" x14ac:dyDescent="0.15">
      <c r="A183" s="32">
        <v>10182</v>
      </c>
      <c r="B183" s="32" t="s">
        <v>704</v>
      </c>
      <c r="C183" s="32">
        <v>1110</v>
      </c>
      <c r="D183" s="32">
        <v>5</v>
      </c>
      <c r="E183" s="15">
        <f>INDEX(数值规划表!$G$79:$G$89,$D183+1)</f>
        <v>546</v>
      </c>
      <c r="F183" s="15">
        <f>INDEX(数值规划表!$H$79:$H$89,$D183+1)</f>
        <v>16.37</v>
      </c>
      <c r="G183" s="15" t="b">
        <f t="shared" si="10"/>
        <v>0</v>
      </c>
      <c r="H183" s="32">
        <v>0</v>
      </c>
      <c r="I183" s="15">
        <f>IF(H183&gt;0,HLOOKUP(R183/100,数值规划表!$B$37:$AA$39,3),1)</f>
        <v>1</v>
      </c>
      <c r="J183" s="31" t="s">
        <v>1627</v>
      </c>
      <c r="K183" s="15">
        <f>INDEX(数值规划表!$B$15:$B$18,MATCH(J183,攻击范围,0))</f>
        <v>0.7</v>
      </c>
      <c r="L183" s="70">
        <f t="shared" si="11"/>
        <v>0.05</v>
      </c>
      <c r="M183" s="70">
        <v>20</v>
      </c>
      <c r="N183" s="15">
        <f t="shared" si="8"/>
        <v>19</v>
      </c>
      <c r="O183" s="15">
        <f t="shared" si="9"/>
        <v>0.56999999999999995</v>
      </c>
      <c r="P183" s="15">
        <f>IF(G183,INDEX(monster!$J$2:$J$606,MATCH(skill!C183,monster!$A$2:$A$606,0)),Q183)</f>
        <v>6</v>
      </c>
      <c r="Q183" s="70">
        <v>6</v>
      </c>
      <c r="R183" s="33">
        <v>1500</v>
      </c>
    </row>
    <row r="184" spans="1:18" s="38" customFormat="1" x14ac:dyDescent="0.15">
      <c r="A184" s="32">
        <v>10183</v>
      </c>
      <c r="B184" s="32" t="s">
        <v>705</v>
      </c>
      <c r="C184" s="32">
        <v>1111</v>
      </c>
      <c r="D184" s="32">
        <v>6</v>
      </c>
      <c r="E184" s="15">
        <f>INDEX(数值规划表!$G$79:$G$89,$D184+1)</f>
        <v>611</v>
      </c>
      <c r="F184" s="15">
        <f>INDEX(数值规划表!$H$79:$H$89,$D184+1)</f>
        <v>18.329999999999998</v>
      </c>
      <c r="G184" s="15" t="b">
        <f t="shared" si="10"/>
        <v>0</v>
      </c>
      <c r="H184" s="32">
        <v>0</v>
      </c>
      <c r="I184" s="15">
        <f>IF(H184&gt;0,HLOOKUP(R184/100,数值规划表!$B$37:$AA$39,3),1)</f>
        <v>1</v>
      </c>
      <c r="J184" s="31" t="s">
        <v>1627</v>
      </c>
      <c r="K184" s="15">
        <f>INDEX(数值规划表!$B$15:$B$18,MATCH(J184,攻击范围,0))</f>
        <v>0.7</v>
      </c>
      <c r="L184" s="70">
        <f t="shared" si="11"/>
        <v>0.05</v>
      </c>
      <c r="M184" s="70">
        <v>20</v>
      </c>
      <c r="N184" s="15">
        <f t="shared" si="8"/>
        <v>21</v>
      </c>
      <c r="O184" s="15">
        <f t="shared" si="9"/>
        <v>0.64</v>
      </c>
      <c r="P184" s="15">
        <f>IF(G184,INDEX(monster!$J$2:$J$606,MATCH(skill!C184,monster!$A$2:$A$606,0)),Q184)</f>
        <v>6</v>
      </c>
      <c r="Q184" s="70">
        <v>6</v>
      </c>
      <c r="R184" s="33">
        <v>1500</v>
      </c>
    </row>
    <row r="185" spans="1:18" s="38" customFormat="1" x14ac:dyDescent="0.15">
      <c r="A185" s="32">
        <v>10184</v>
      </c>
      <c r="B185" s="32" t="s">
        <v>706</v>
      </c>
      <c r="C185" s="32">
        <v>1112</v>
      </c>
      <c r="D185" s="32">
        <v>7</v>
      </c>
      <c r="E185" s="15">
        <f>INDEX(数值规划表!$G$79:$G$89,$D185+1)</f>
        <v>684</v>
      </c>
      <c r="F185" s="15">
        <f>INDEX(数值规划表!$H$79:$H$89,$D185+1)</f>
        <v>20.53</v>
      </c>
      <c r="G185" s="15" t="b">
        <f t="shared" si="10"/>
        <v>0</v>
      </c>
      <c r="H185" s="32">
        <v>0</v>
      </c>
      <c r="I185" s="15">
        <f>IF(H185&gt;0,HLOOKUP(R185/100,数值规划表!$B$37:$AA$39,3),1)</f>
        <v>1</v>
      </c>
      <c r="J185" s="31" t="s">
        <v>1627</v>
      </c>
      <c r="K185" s="15">
        <f>INDEX(数值规划表!$B$15:$B$18,MATCH(J185,攻击范围,0))</f>
        <v>0.7</v>
      </c>
      <c r="L185" s="70">
        <f t="shared" si="11"/>
        <v>0.05</v>
      </c>
      <c r="M185" s="70">
        <v>20</v>
      </c>
      <c r="N185" s="15">
        <f t="shared" si="8"/>
        <v>24</v>
      </c>
      <c r="O185" s="15">
        <f t="shared" si="9"/>
        <v>0.72</v>
      </c>
      <c r="P185" s="15">
        <f>IF(G185,INDEX(monster!$J$2:$J$606,MATCH(skill!C185,monster!$A$2:$A$606,0)),Q185)</f>
        <v>6</v>
      </c>
      <c r="Q185" s="70">
        <v>6</v>
      </c>
      <c r="R185" s="33">
        <v>1500</v>
      </c>
    </row>
    <row r="186" spans="1:18" s="38" customFormat="1" x14ac:dyDescent="0.15">
      <c r="A186" s="32">
        <v>10185</v>
      </c>
      <c r="B186" s="32" t="s">
        <v>707</v>
      </c>
      <c r="C186" s="32">
        <v>1113</v>
      </c>
      <c r="D186" s="32">
        <v>8</v>
      </c>
      <c r="E186" s="15">
        <f>INDEX(数值规划表!$G$79:$G$89,$D186+1)</f>
        <v>766</v>
      </c>
      <c r="F186" s="15">
        <f>INDEX(数值规划表!$H$79:$H$89,$D186+1)</f>
        <v>22.99</v>
      </c>
      <c r="G186" s="15" t="b">
        <f t="shared" si="10"/>
        <v>0</v>
      </c>
      <c r="H186" s="32">
        <v>0</v>
      </c>
      <c r="I186" s="15">
        <f>IF(H186&gt;0,HLOOKUP(R186/100,数值规划表!$B$37:$AA$39,3),1)</f>
        <v>1</v>
      </c>
      <c r="J186" s="31" t="s">
        <v>1627</v>
      </c>
      <c r="K186" s="15">
        <f>INDEX(数值规划表!$B$15:$B$18,MATCH(J186,攻击范围,0))</f>
        <v>0.7</v>
      </c>
      <c r="L186" s="70">
        <f t="shared" si="11"/>
        <v>0.05</v>
      </c>
      <c r="M186" s="70">
        <v>20</v>
      </c>
      <c r="N186" s="15">
        <f t="shared" si="8"/>
        <v>27</v>
      </c>
      <c r="O186" s="15">
        <f t="shared" si="9"/>
        <v>0.8</v>
      </c>
      <c r="P186" s="15">
        <f>IF(G186,INDEX(monster!$J$2:$J$606,MATCH(skill!C186,monster!$A$2:$A$606,0)),Q186)</f>
        <v>6</v>
      </c>
      <c r="Q186" s="70">
        <v>6</v>
      </c>
      <c r="R186" s="33">
        <v>1500</v>
      </c>
    </row>
    <row r="187" spans="1:18" s="38" customFormat="1" x14ac:dyDescent="0.15">
      <c r="A187" s="32">
        <v>10186</v>
      </c>
      <c r="B187" s="32" t="s">
        <v>708</v>
      </c>
      <c r="C187" s="32">
        <v>1114</v>
      </c>
      <c r="D187" s="32">
        <v>9</v>
      </c>
      <c r="E187" s="15">
        <f>INDEX(数值规划表!$G$79:$G$89,$D187+1)</f>
        <v>858</v>
      </c>
      <c r="F187" s="15">
        <f>INDEX(数值规划表!$H$79:$H$89,$D187+1)</f>
        <v>25.75</v>
      </c>
      <c r="G187" s="15" t="b">
        <f t="shared" si="10"/>
        <v>0</v>
      </c>
      <c r="H187" s="32">
        <v>0</v>
      </c>
      <c r="I187" s="15">
        <f>IF(H187&gt;0,HLOOKUP(R187/100,数值规划表!$B$37:$AA$39,3),1)</f>
        <v>1</v>
      </c>
      <c r="J187" s="31" t="s">
        <v>1627</v>
      </c>
      <c r="K187" s="15">
        <f>INDEX(数值规划表!$B$15:$B$18,MATCH(J187,攻击范围,0))</f>
        <v>0.7</v>
      </c>
      <c r="L187" s="70">
        <f t="shared" si="11"/>
        <v>0.05</v>
      </c>
      <c r="M187" s="70">
        <v>20</v>
      </c>
      <c r="N187" s="15">
        <f t="shared" si="8"/>
        <v>30</v>
      </c>
      <c r="O187" s="15">
        <f t="shared" si="9"/>
        <v>0.9</v>
      </c>
      <c r="P187" s="15">
        <f>IF(G187,INDEX(monster!$J$2:$J$606,MATCH(skill!C187,monster!$A$2:$A$606,0)),Q187)</f>
        <v>6</v>
      </c>
      <c r="Q187" s="70">
        <v>6</v>
      </c>
      <c r="R187" s="33">
        <v>1500</v>
      </c>
    </row>
    <row r="188" spans="1:18" s="38" customFormat="1" x14ac:dyDescent="0.15">
      <c r="A188" s="32">
        <v>10187</v>
      </c>
      <c r="B188" s="32" t="s">
        <v>709</v>
      </c>
      <c r="C188" s="32">
        <v>1115</v>
      </c>
      <c r="D188" s="32">
        <v>10</v>
      </c>
      <c r="E188" s="15">
        <f>INDEX(数值规划表!$G$79:$G$89,$D188+1)</f>
        <v>961</v>
      </c>
      <c r="F188" s="15">
        <f>INDEX(数值规划表!$H$79:$H$89,$D188+1)</f>
        <v>28.84</v>
      </c>
      <c r="G188" s="15" t="b">
        <f t="shared" si="10"/>
        <v>0</v>
      </c>
      <c r="H188" s="32">
        <v>0</v>
      </c>
      <c r="I188" s="15">
        <f>IF(H188&gt;0,HLOOKUP(R188/100,数值规划表!$B$37:$AA$39,3),1)</f>
        <v>1</v>
      </c>
      <c r="J188" s="31" t="s">
        <v>1627</v>
      </c>
      <c r="K188" s="15">
        <f>INDEX(数值规划表!$B$15:$B$18,MATCH(J188,攻击范围,0))</f>
        <v>0.7</v>
      </c>
      <c r="L188" s="70">
        <f t="shared" si="11"/>
        <v>0.05</v>
      </c>
      <c r="M188" s="70">
        <v>20</v>
      </c>
      <c r="N188" s="15">
        <f t="shared" si="8"/>
        <v>34</v>
      </c>
      <c r="O188" s="15">
        <f t="shared" si="9"/>
        <v>1.01</v>
      </c>
      <c r="P188" s="15">
        <f>IF(G188,INDEX(monster!$J$2:$J$606,MATCH(skill!C188,monster!$A$2:$A$606,0)),Q188)</f>
        <v>6</v>
      </c>
      <c r="Q188" s="70">
        <v>6</v>
      </c>
      <c r="R188" s="33">
        <v>1500</v>
      </c>
    </row>
    <row r="189" spans="1:18" s="38" customFormat="1" x14ac:dyDescent="0.15">
      <c r="A189" s="32">
        <v>10188</v>
      </c>
      <c r="B189" s="32" t="s">
        <v>2819</v>
      </c>
      <c r="C189" s="32">
        <v>1116</v>
      </c>
      <c r="D189" s="32">
        <v>0</v>
      </c>
      <c r="E189" s="15">
        <f>INDEX(monster!$H$2:$H$617,MATCH(skill!C189,monster!$A$2:$A$617,0))</f>
        <v>36.590000000000003</v>
      </c>
      <c r="F189" s="15">
        <f>INDEX(monster!$I$2:$I$617,MATCH(C189,monster!$A$2:$A$617,0))</f>
        <v>1.1000000000000001</v>
      </c>
      <c r="G189" s="15" t="b">
        <f t="shared" si="10"/>
        <v>1</v>
      </c>
      <c r="H189" s="32">
        <v>1</v>
      </c>
      <c r="I189" s="15">
        <f>IF(H189&gt;0,HLOOKUP(R189/100,数值规划表!$B$37:$AA$39,3),1)</f>
        <v>1</v>
      </c>
      <c r="J189" s="31" t="s">
        <v>1625</v>
      </c>
      <c r="K189" s="15">
        <f>INDEX(数值规划表!$B$15:$B$18,MATCH(J189,攻击范围,0))</f>
        <v>1</v>
      </c>
      <c r="L189" s="30">
        <v>1</v>
      </c>
      <c r="M189" s="41">
        <v>0</v>
      </c>
      <c r="N189" s="15">
        <f t="shared" si="8"/>
        <v>37</v>
      </c>
      <c r="O189" s="15">
        <f t="shared" si="9"/>
        <v>1.1000000000000001</v>
      </c>
      <c r="P189" s="15">
        <f>IF(G189,INDEX(monster!$J$2:$J$606,MATCH(skill!C189,monster!$A$2:$A$606,0)),Q189)</f>
        <v>1.2</v>
      </c>
      <c r="Q189" s="70"/>
      <c r="R189" s="33">
        <v>100</v>
      </c>
    </row>
    <row r="190" spans="1:18" s="38" customFormat="1" x14ac:dyDescent="0.15">
      <c r="A190" s="32">
        <v>10189</v>
      </c>
      <c r="B190" s="32" t="s">
        <v>2820</v>
      </c>
      <c r="C190" s="32">
        <v>1117</v>
      </c>
      <c r="D190" s="32">
        <v>1</v>
      </c>
      <c r="E190" s="15">
        <f>INDEX(monster!$H$2:$H$617,MATCH(skill!C190,monster!$A$2:$A$617,0))</f>
        <v>40.98</v>
      </c>
      <c r="F190" s="15">
        <f>INDEX(monster!$I$2:$I$617,MATCH(C190,monster!$A$2:$A$617,0))</f>
        <v>1.23</v>
      </c>
      <c r="G190" s="15" t="b">
        <f t="shared" si="10"/>
        <v>1</v>
      </c>
      <c r="H190" s="32">
        <v>1</v>
      </c>
      <c r="I190" s="15">
        <f>IF(H190&gt;0,HLOOKUP(R190/100,数值规划表!$B$37:$AA$39,3),1)</f>
        <v>1</v>
      </c>
      <c r="J190" s="31" t="s">
        <v>1625</v>
      </c>
      <c r="K190" s="15">
        <f>INDEX(数值规划表!$B$15:$B$18,MATCH(J190,攻击范围,0))</f>
        <v>1</v>
      </c>
      <c r="L190" s="30">
        <v>1</v>
      </c>
      <c r="M190" s="41">
        <v>0</v>
      </c>
      <c r="N190" s="15">
        <f t="shared" si="8"/>
        <v>41</v>
      </c>
      <c r="O190" s="15">
        <f t="shared" si="9"/>
        <v>1.23</v>
      </c>
      <c r="P190" s="15">
        <f>IF(G190,INDEX(monster!$J$2:$J$606,MATCH(skill!C190,monster!$A$2:$A$606,0)),Q190)</f>
        <v>1.2</v>
      </c>
      <c r="Q190" s="70"/>
      <c r="R190" s="33">
        <v>100</v>
      </c>
    </row>
    <row r="191" spans="1:18" s="38" customFormat="1" x14ac:dyDescent="0.15">
      <c r="A191" s="32">
        <v>10190</v>
      </c>
      <c r="B191" s="32" t="s">
        <v>2821</v>
      </c>
      <c r="C191" s="32">
        <v>1118</v>
      </c>
      <c r="D191" s="32">
        <v>2</v>
      </c>
      <c r="E191" s="15">
        <f>INDEX(monster!$H$2:$H$617,MATCH(skill!C191,monster!$A$2:$A$617,0))</f>
        <v>45.9</v>
      </c>
      <c r="F191" s="15">
        <f>INDEX(monster!$I$2:$I$617,MATCH(C191,monster!$A$2:$A$617,0))</f>
        <v>1.38</v>
      </c>
      <c r="G191" s="15" t="b">
        <f t="shared" si="10"/>
        <v>1</v>
      </c>
      <c r="H191" s="32">
        <v>1</v>
      </c>
      <c r="I191" s="15">
        <f>IF(H191&gt;0,HLOOKUP(R191/100,数值规划表!$B$37:$AA$39,3),1)</f>
        <v>1</v>
      </c>
      <c r="J191" s="31" t="s">
        <v>1625</v>
      </c>
      <c r="K191" s="15">
        <f>INDEX(数值规划表!$B$15:$B$18,MATCH(J191,攻击范围,0))</f>
        <v>1</v>
      </c>
      <c r="L191" s="30">
        <v>1</v>
      </c>
      <c r="M191" s="41">
        <v>0</v>
      </c>
      <c r="N191" s="15">
        <f t="shared" si="8"/>
        <v>46</v>
      </c>
      <c r="O191" s="15">
        <f t="shared" si="9"/>
        <v>1.38</v>
      </c>
      <c r="P191" s="15">
        <f>IF(G191,INDEX(monster!$J$2:$J$606,MATCH(skill!C191,monster!$A$2:$A$606,0)),Q191)</f>
        <v>1.2</v>
      </c>
      <c r="Q191" s="70"/>
      <c r="R191" s="33">
        <v>100</v>
      </c>
    </row>
    <row r="192" spans="1:18" s="38" customFormat="1" x14ac:dyDescent="0.15">
      <c r="A192" s="32">
        <v>10191</v>
      </c>
      <c r="B192" s="32" t="s">
        <v>2822</v>
      </c>
      <c r="C192" s="32">
        <v>1119</v>
      </c>
      <c r="D192" s="32">
        <v>3</v>
      </c>
      <c r="E192" s="15">
        <f>INDEX(monster!$H$2:$H$617,MATCH(skill!C192,monster!$A$2:$A$617,0))</f>
        <v>51.41</v>
      </c>
      <c r="F192" s="15">
        <f>INDEX(monster!$I$2:$I$617,MATCH(C192,monster!$A$2:$A$617,0))</f>
        <v>1.54</v>
      </c>
      <c r="G192" s="15" t="b">
        <f t="shared" si="10"/>
        <v>1</v>
      </c>
      <c r="H192" s="32">
        <v>1</v>
      </c>
      <c r="I192" s="15">
        <f>IF(H192&gt;0,HLOOKUP(R192/100,数值规划表!$B$37:$AA$39,3),1)</f>
        <v>1</v>
      </c>
      <c r="J192" s="31" t="s">
        <v>1625</v>
      </c>
      <c r="K192" s="15">
        <f>INDEX(数值规划表!$B$15:$B$18,MATCH(J192,攻击范围,0))</f>
        <v>1</v>
      </c>
      <c r="L192" s="30">
        <v>1</v>
      </c>
      <c r="M192" s="41">
        <v>0</v>
      </c>
      <c r="N192" s="15">
        <f t="shared" si="8"/>
        <v>51</v>
      </c>
      <c r="O192" s="15">
        <f t="shared" si="9"/>
        <v>1.54</v>
      </c>
      <c r="P192" s="15">
        <f>IF(G192,INDEX(monster!$J$2:$J$606,MATCH(skill!C192,monster!$A$2:$A$606,0)),Q192)</f>
        <v>1.2</v>
      </c>
      <c r="Q192" s="70"/>
      <c r="R192" s="33">
        <v>100</v>
      </c>
    </row>
    <row r="193" spans="1:18" s="38" customFormat="1" x14ac:dyDescent="0.15">
      <c r="A193" s="32">
        <v>10192</v>
      </c>
      <c r="B193" s="32" t="s">
        <v>2823</v>
      </c>
      <c r="C193" s="32">
        <v>1120</v>
      </c>
      <c r="D193" s="32">
        <v>4</v>
      </c>
      <c r="E193" s="15">
        <f>INDEX(monster!$H$2:$H$617,MATCH(skill!C193,monster!$A$2:$A$617,0))</f>
        <v>57.58</v>
      </c>
      <c r="F193" s="15">
        <f>INDEX(monster!$I$2:$I$617,MATCH(C193,monster!$A$2:$A$617,0))</f>
        <v>1.73</v>
      </c>
      <c r="G193" s="15" t="b">
        <f t="shared" si="10"/>
        <v>1</v>
      </c>
      <c r="H193" s="32">
        <v>1</v>
      </c>
      <c r="I193" s="15">
        <f>IF(H193&gt;0,HLOOKUP(R193/100,数值规划表!$B$37:$AA$39,3),1)</f>
        <v>1</v>
      </c>
      <c r="J193" s="31" t="s">
        <v>1625</v>
      </c>
      <c r="K193" s="15">
        <f>INDEX(数值规划表!$B$15:$B$18,MATCH(J193,攻击范围,0))</f>
        <v>1</v>
      </c>
      <c r="L193" s="30">
        <v>1</v>
      </c>
      <c r="M193" s="41">
        <v>0</v>
      </c>
      <c r="N193" s="15">
        <f t="shared" si="8"/>
        <v>58</v>
      </c>
      <c r="O193" s="15">
        <f t="shared" si="9"/>
        <v>1.73</v>
      </c>
      <c r="P193" s="15">
        <f>IF(G193,INDEX(monster!$J$2:$J$606,MATCH(skill!C193,monster!$A$2:$A$606,0)),Q193)</f>
        <v>1.2</v>
      </c>
      <c r="Q193" s="70"/>
      <c r="R193" s="33">
        <v>100</v>
      </c>
    </row>
    <row r="194" spans="1:18" s="38" customFormat="1" x14ac:dyDescent="0.15">
      <c r="A194" s="32">
        <v>10193</v>
      </c>
      <c r="B194" s="32" t="s">
        <v>2824</v>
      </c>
      <c r="C194" s="32">
        <v>1121</v>
      </c>
      <c r="D194" s="32">
        <v>5</v>
      </c>
      <c r="E194" s="15">
        <f>INDEX(monster!$H$2:$H$617,MATCH(skill!C194,monster!$A$2:$A$617,0))</f>
        <v>64.48</v>
      </c>
      <c r="F194" s="15">
        <f>INDEX(monster!$I$2:$I$617,MATCH(C194,monster!$A$2:$A$617,0))</f>
        <v>1.93</v>
      </c>
      <c r="G194" s="15" t="b">
        <f t="shared" si="10"/>
        <v>1</v>
      </c>
      <c r="H194" s="32">
        <v>1</v>
      </c>
      <c r="I194" s="15">
        <f>IF(H194&gt;0,HLOOKUP(R194/100,数值规划表!$B$37:$AA$39,3),1)</f>
        <v>1</v>
      </c>
      <c r="J194" s="31" t="s">
        <v>1625</v>
      </c>
      <c r="K194" s="15">
        <f>INDEX(数值规划表!$B$15:$B$18,MATCH(J194,攻击范围,0))</f>
        <v>1</v>
      </c>
      <c r="L194" s="30">
        <v>1</v>
      </c>
      <c r="M194" s="41">
        <v>0</v>
      </c>
      <c r="N194" s="15">
        <f t="shared" ref="N194:N257" si="12">ROUND(E194*I194*K194*L194,0)</f>
        <v>64</v>
      </c>
      <c r="O194" s="15">
        <f t="shared" ref="O194:O257" si="13">ROUND(F194*I194*K194*L194,2)</f>
        <v>1.93</v>
      </c>
      <c r="P194" s="15">
        <f>IF(G194,INDEX(monster!$J$2:$J$606,MATCH(skill!C194,monster!$A$2:$A$606,0)),Q194)</f>
        <v>1.2</v>
      </c>
      <c r="Q194" s="70"/>
      <c r="R194" s="33">
        <v>100</v>
      </c>
    </row>
    <row r="195" spans="1:18" s="38" customFormat="1" x14ac:dyDescent="0.15">
      <c r="A195" s="32">
        <v>10194</v>
      </c>
      <c r="B195" s="32" t="s">
        <v>2825</v>
      </c>
      <c r="C195" s="32">
        <v>1122</v>
      </c>
      <c r="D195" s="32">
        <v>6</v>
      </c>
      <c r="E195" s="15">
        <f>INDEX(monster!$H$2:$H$617,MATCH(skill!C195,monster!$A$2:$A$617,0))</f>
        <v>72.22</v>
      </c>
      <c r="F195" s="15">
        <f>INDEX(monster!$I$2:$I$617,MATCH(C195,monster!$A$2:$A$617,0))</f>
        <v>2.17</v>
      </c>
      <c r="G195" s="15" t="b">
        <f t="shared" si="10"/>
        <v>1</v>
      </c>
      <c r="H195" s="32">
        <v>1</v>
      </c>
      <c r="I195" s="15">
        <f>IF(H195&gt;0,HLOOKUP(R195/100,数值规划表!$B$37:$AA$39,3),1)</f>
        <v>1</v>
      </c>
      <c r="J195" s="31" t="s">
        <v>1625</v>
      </c>
      <c r="K195" s="15">
        <f>INDEX(数值规划表!$B$15:$B$18,MATCH(J195,攻击范围,0))</f>
        <v>1</v>
      </c>
      <c r="L195" s="30">
        <v>1</v>
      </c>
      <c r="M195" s="41">
        <v>0</v>
      </c>
      <c r="N195" s="15">
        <f t="shared" si="12"/>
        <v>72</v>
      </c>
      <c r="O195" s="15">
        <f t="shared" si="13"/>
        <v>2.17</v>
      </c>
      <c r="P195" s="15">
        <f>IF(G195,INDEX(monster!$J$2:$J$606,MATCH(skill!C195,monster!$A$2:$A$606,0)),Q195)</f>
        <v>1.2</v>
      </c>
      <c r="Q195" s="70"/>
      <c r="R195" s="33">
        <v>100</v>
      </c>
    </row>
    <row r="196" spans="1:18" s="38" customFormat="1" x14ac:dyDescent="0.15">
      <c r="A196" s="32">
        <v>10195</v>
      </c>
      <c r="B196" s="32" t="s">
        <v>2826</v>
      </c>
      <c r="C196" s="32">
        <v>1123</v>
      </c>
      <c r="D196" s="32">
        <v>7</v>
      </c>
      <c r="E196" s="15">
        <f>INDEX(monster!$H$2:$H$617,MATCH(skill!C196,monster!$A$2:$A$617,0))</f>
        <v>80.89</v>
      </c>
      <c r="F196" s="15">
        <f>INDEX(monster!$I$2:$I$617,MATCH(C196,monster!$A$2:$A$617,0))</f>
        <v>2.4300000000000002</v>
      </c>
      <c r="G196" s="15" t="b">
        <f t="shared" si="10"/>
        <v>1</v>
      </c>
      <c r="H196" s="32">
        <v>1</v>
      </c>
      <c r="I196" s="15">
        <f>IF(H196&gt;0,HLOOKUP(R196/100,数值规划表!$B$37:$AA$39,3),1)</f>
        <v>1</v>
      </c>
      <c r="J196" s="31" t="s">
        <v>1625</v>
      </c>
      <c r="K196" s="15">
        <f>INDEX(数值规划表!$B$15:$B$18,MATCH(J196,攻击范围,0))</f>
        <v>1</v>
      </c>
      <c r="L196" s="30">
        <v>1</v>
      </c>
      <c r="M196" s="41">
        <v>0</v>
      </c>
      <c r="N196" s="15">
        <f t="shared" si="12"/>
        <v>81</v>
      </c>
      <c r="O196" s="15">
        <f t="shared" si="13"/>
        <v>2.4300000000000002</v>
      </c>
      <c r="P196" s="15">
        <f>IF(G196,INDEX(monster!$J$2:$J$606,MATCH(skill!C196,monster!$A$2:$A$606,0)),Q196)</f>
        <v>1.2</v>
      </c>
      <c r="Q196" s="70"/>
      <c r="R196" s="33">
        <v>100</v>
      </c>
    </row>
    <row r="197" spans="1:18" s="38" customFormat="1" x14ac:dyDescent="0.15">
      <c r="A197" s="32">
        <v>10196</v>
      </c>
      <c r="B197" s="32" t="s">
        <v>2827</v>
      </c>
      <c r="C197" s="32">
        <v>1124</v>
      </c>
      <c r="D197" s="32">
        <v>8</v>
      </c>
      <c r="E197" s="15">
        <f>INDEX(monster!$H$2:$H$617,MATCH(skill!C197,monster!$A$2:$A$617,0))</f>
        <v>90.6</v>
      </c>
      <c r="F197" s="15">
        <f>INDEX(monster!$I$2:$I$617,MATCH(C197,monster!$A$2:$A$617,0))</f>
        <v>2.72</v>
      </c>
      <c r="G197" s="15" t="b">
        <f t="shared" si="10"/>
        <v>1</v>
      </c>
      <c r="H197" s="32">
        <v>1</v>
      </c>
      <c r="I197" s="15">
        <f>IF(H197&gt;0,HLOOKUP(R197/100,数值规划表!$B$37:$AA$39,3),1)</f>
        <v>1</v>
      </c>
      <c r="J197" s="31" t="s">
        <v>1625</v>
      </c>
      <c r="K197" s="15">
        <f>INDEX(数值规划表!$B$15:$B$18,MATCH(J197,攻击范围,0))</f>
        <v>1</v>
      </c>
      <c r="L197" s="30">
        <v>1</v>
      </c>
      <c r="M197" s="41">
        <v>0</v>
      </c>
      <c r="N197" s="15">
        <f t="shared" si="12"/>
        <v>91</v>
      </c>
      <c r="O197" s="15">
        <f t="shared" si="13"/>
        <v>2.72</v>
      </c>
      <c r="P197" s="15">
        <f>IF(G197,INDEX(monster!$J$2:$J$606,MATCH(skill!C197,monster!$A$2:$A$606,0)),Q197)</f>
        <v>1.2</v>
      </c>
      <c r="Q197" s="70"/>
      <c r="R197" s="33">
        <v>100</v>
      </c>
    </row>
    <row r="198" spans="1:18" s="38" customFormat="1" x14ac:dyDescent="0.15">
      <c r="A198" s="32">
        <v>10197</v>
      </c>
      <c r="B198" s="32" t="s">
        <v>2828</v>
      </c>
      <c r="C198" s="32">
        <v>1125</v>
      </c>
      <c r="D198" s="32">
        <v>9</v>
      </c>
      <c r="E198" s="15">
        <f>INDEX(monster!$H$2:$H$617,MATCH(skill!C198,monster!$A$2:$A$617,0))</f>
        <v>101.47</v>
      </c>
      <c r="F198" s="15">
        <f>INDEX(monster!$I$2:$I$617,MATCH(C198,monster!$A$2:$A$617,0))</f>
        <v>3.04</v>
      </c>
      <c r="G198" s="15" t="b">
        <f t="shared" si="10"/>
        <v>1</v>
      </c>
      <c r="H198" s="32">
        <v>1</v>
      </c>
      <c r="I198" s="15">
        <f>IF(H198&gt;0,HLOOKUP(R198/100,数值规划表!$B$37:$AA$39,3),1)</f>
        <v>1</v>
      </c>
      <c r="J198" s="31" t="s">
        <v>1625</v>
      </c>
      <c r="K198" s="15">
        <f>INDEX(数值规划表!$B$15:$B$18,MATCH(J198,攻击范围,0))</f>
        <v>1</v>
      </c>
      <c r="L198" s="30">
        <v>1</v>
      </c>
      <c r="M198" s="41">
        <v>0</v>
      </c>
      <c r="N198" s="15">
        <f t="shared" si="12"/>
        <v>101</v>
      </c>
      <c r="O198" s="15">
        <f t="shared" si="13"/>
        <v>3.04</v>
      </c>
      <c r="P198" s="15">
        <f>IF(G198,INDEX(monster!$J$2:$J$606,MATCH(skill!C198,monster!$A$2:$A$606,0)),Q198)</f>
        <v>1.2</v>
      </c>
      <c r="Q198" s="70"/>
      <c r="R198" s="33">
        <v>100</v>
      </c>
    </row>
    <row r="199" spans="1:18" s="38" customFormat="1" x14ac:dyDescent="0.15">
      <c r="A199" s="32">
        <v>10198</v>
      </c>
      <c r="B199" s="32" t="s">
        <v>2829</v>
      </c>
      <c r="C199" s="32">
        <v>1126</v>
      </c>
      <c r="D199" s="32">
        <v>10</v>
      </c>
      <c r="E199" s="15">
        <f>INDEX(monster!$H$2:$H$617,MATCH(skill!C199,monster!$A$2:$A$617,0))</f>
        <v>113.64</v>
      </c>
      <c r="F199" s="15">
        <f>INDEX(monster!$I$2:$I$617,MATCH(C199,monster!$A$2:$A$617,0))</f>
        <v>3.41</v>
      </c>
      <c r="G199" s="15" t="b">
        <f t="shared" si="10"/>
        <v>1</v>
      </c>
      <c r="H199" s="32">
        <v>1</v>
      </c>
      <c r="I199" s="15">
        <f>IF(H199&gt;0,HLOOKUP(R199/100,数值规划表!$B$37:$AA$39,3),1)</f>
        <v>1</v>
      </c>
      <c r="J199" s="31" t="s">
        <v>1625</v>
      </c>
      <c r="K199" s="15">
        <f>INDEX(数值规划表!$B$15:$B$18,MATCH(J199,攻击范围,0))</f>
        <v>1</v>
      </c>
      <c r="L199" s="30">
        <v>1</v>
      </c>
      <c r="M199" s="41">
        <v>0</v>
      </c>
      <c r="N199" s="15">
        <f t="shared" si="12"/>
        <v>114</v>
      </c>
      <c r="O199" s="15">
        <f t="shared" si="13"/>
        <v>3.41</v>
      </c>
      <c r="P199" s="15">
        <f>IF(G199,INDEX(monster!$J$2:$J$606,MATCH(skill!C199,monster!$A$2:$A$606,0)),Q199)</f>
        <v>1.2</v>
      </c>
      <c r="Q199" s="70"/>
      <c r="R199" s="33">
        <v>100</v>
      </c>
    </row>
    <row r="200" spans="1:18" s="38" customFormat="1" x14ac:dyDescent="0.15">
      <c r="A200" s="32">
        <v>10199</v>
      </c>
      <c r="B200" s="32" t="s">
        <v>2830</v>
      </c>
      <c r="C200" s="32">
        <v>1127</v>
      </c>
      <c r="D200" s="32">
        <v>0</v>
      </c>
      <c r="E200" s="15">
        <f>INDEX(monster!$H$2:$H$617,MATCH(skill!C200,monster!$A$2:$A$617,0))</f>
        <v>56.98</v>
      </c>
      <c r="F200" s="15">
        <f>INDEX(monster!$I$2:$I$617,MATCH(C200,monster!$A$2:$A$617,0))</f>
        <v>1.71</v>
      </c>
      <c r="G200" s="15" t="b">
        <f t="shared" si="10"/>
        <v>1</v>
      </c>
      <c r="H200" s="32">
        <v>1</v>
      </c>
      <c r="I200" s="15">
        <f>IF(H200&gt;0,HLOOKUP(R200/100,数值规划表!$B$37:$AA$39,3),1)</f>
        <v>1.7999999999999998</v>
      </c>
      <c r="J200" s="31" t="s">
        <v>1625</v>
      </c>
      <c r="K200" s="15">
        <f>INDEX(数值规划表!$B$15:$B$18,MATCH(J200,攻击范围,0))</f>
        <v>1</v>
      </c>
      <c r="L200" s="30">
        <v>1</v>
      </c>
      <c r="M200" s="41">
        <v>0</v>
      </c>
      <c r="N200" s="15">
        <f t="shared" si="12"/>
        <v>103</v>
      </c>
      <c r="O200" s="15">
        <f t="shared" si="13"/>
        <v>3.08</v>
      </c>
      <c r="P200" s="15">
        <f>IF(G200,INDEX(monster!$J$2:$J$606,MATCH(skill!C200,monster!$A$2:$A$606,0)),Q200)</f>
        <v>1.2</v>
      </c>
      <c r="Q200" s="70"/>
      <c r="R200" s="33">
        <v>150</v>
      </c>
    </row>
    <row r="201" spans="1:18" s="38" customFormat="1" x14ac:dyDescent="0.15">
      <c r="A201" s="32">
        <v>10200</v>
      </c>
      <c r="B201" s="32" t="s">
        <v>2831</v>
      </c>
      <c r="C201" s="32">
        <v>1128</v>
      </c>
      <c r="D201" s="32">
        <v>1</v>
      </c>
      <c r="E201" s="15">
        <f>INDEX(monster!$H$2:$H$617,MATCH(skill!C201,monster!$A$2:$A$617,0))</f>
        <v>63.82</v>
      </c>
      <c r="F201" s="15">
        <f>INDEX(monster!$I$2:$I$617,MATCH(C201,monster!$A$2:$A$617,0))</f>
        <v>1.91</v>
      </c>
      <c r="G201" s="15" t="b">
        <f t="shared" si="10"/>
        <v>1</v>
      </c>
      <c r="H201" s="32">
        <v>1</v>
      </c>
      <c r="I201" s="15">
        <f>IF(H201&gt;0,HLOOKUP(R201/100,数值规划表!$B$37:$AA$39,3),1)</f>
        <v>1.7999999999999998</v>
      </c>
      <c r="J201" s="31" t="s">
        <v>1625</v>
      </c>
      <c r="K201" s="15">
        <f>INDEX(数值规划表!$B$15:$B$18,MATCH(J201,攻击范围,0))</f>
        <v>1</v>
      </c>
      <c r="L201" s="30">
        <v>1</v>
      </c>
      <c r="M201" s="41">
        <v>0</v>
      </c>
      <c r="N201" s="15">
        <f t="shared" si="12"/>
        <v>115</v>
      </c>
      <c r="O201" s="15">
        <f t="shared" si="13"/>
        <v>3.44</v>
      </c>
      <c r="P201" s="15">
        <f>IF(G201,INDEX(monster!$J$2:$J$606,MATCH(skill!C201,monster!$A$2:$A$606,0)),Q201)</f>
        <v>1.2</v>
      </c>
      <c r="Q201" s="70"/>
      <c r="R201" s="33">
        <v>150</v>
      </c>
    </row>
    <row r="202" spans="1:18" s="38" customFormat="1" x14ac:dyDescent="0.15">
      <c r="A202" s="32">
        <v>10201</v>
      </c>
      <c r="B202" s="32" t="s">
        <v>710</v>
      </c>
      <c r="C202" s="32">
        <v>1129</v>
      </c>
      <c r="D202" s="32">
        <v>2</v>
      </c>
      <c r="E202" s="15">
        <f>INDEX(monster!$H$2:$H$617,MATCH(skill!C202,monster!$A$2:$A$617,0))</f>
        <v>71.48</v>
      </c>
      <c r="F202" s="15">
        <f>INDEX(monster!$I$2:$I$617,MATCH(C202,monster!$A$2:$A$617,0))</f>
        <v>2.14</v>
      </c>
      <c r="G202" s="15" t="b">
        <f t="shared" si="10"/>
        <v>1</v>
      </c>
      <c r="H202" s="32">
        <v>1</v>
      </c>
      <c r="I202" s="15">
        <f>IF(H202&gt;0,HLOOKUP(R202/100,数值规划表!$B$37:$AA$39,3),1)</f>
        <v>1.7999999999999998</v>
      </c>
      <c r="J202" s="31" t="s">
        <v>1625</v>
      </c>
      <c r="K202" s="15">
        <f>INDEX(数值规划表!$B$15:$B$18,MATCH(J202,攻击范围,0))</f>
        <v>1</v>
      </c>
      <c r="L202" s="30">
        <v>1</v>
      </c>
      <c r="M202" s="41">
        <v>0</v>
      </c>
      <c r="N202" s="15">
        <f t="shared" si="12"/>
        <v>129</v>
      </c>
      <c r="O202" s="15">
        <f t="shared" si="13"/>
        <v>3.85</v>
      </c>
      <c r="P202" s="15">
        <f>IF(G202,INDEX(monster!$J$2:$J$606,MATCH(skill!C202,monster!$A$2:$A$606,0)),Q202)</f>
        <v>1.2</v>
      </c>
      <c r="Q202" s="70"/>
      <c r="R202" s="33">
        <v>150</v>
      </c>
    </row>
    <row r="203" spans="1:18" s="38" customFormat="1" x14ac:dyDescent="0.15">
      <c r="A203" s="32">
        <v>10202</v>
      </c>
      <c r="B203" s="32" t="s">
        <v>711</v>
      </c>
      <c r="C203" s="32">
        <v>1130</v>
      </c>
      <c r="D203" s="32">
        <v>3</v>
      </c>
      <c r="E203" s="15">
        <f>INDEX(monster!$H$2:$H$617,MATCH(skill!C203,monster!$A$2:$A$617,0))</f>
        <v>80.05</v>
      </c>
      <c r="F203" s="15">
        <f>INDEX(monster!$I$2:$I$617,MATCH(C203,monster!$A$2:$A$617,0))</f>
        <v>2.4</v>
      </c>
      <c r="G203" s="15" t="b">
        <f t="shared" si="10"/>
        <v>1</v>
      </c>
      <c r="H203" s="32">
        <v>1</v>
      </c>
      <c r="I203" s="15">
        <f>IF(H203&gt;0,HLOOKUP(R203/100,数值规划表!$B$37:$AA$39,3),1)</f>
        <v>1.7999999999999998</v>
      </c>
      <c r="J203" s="31" t="s">
        <v>1625</v>
      </c>
      <c r="K203" s="15">
        <f>INDEX(数值规划表!$B$15:$B$18,MATCH(J203,攻击范围,0))</f>
        <v>1</v>
      </c>
      <c r="L203" s="30">
        <v>1</v>
      </c>
      <c r="M203" s="41">
        <v>0</v>
      </c>
      <c r="N203" s="15">
        <f t="shared" si="12"/>
        <v>144</v>
      </c>
      <c r="O203" s="15">
        <f t="shared" si="13"/>
        <v>4.32</v>
      </c>
      <c r="P203" s="15">
        <f>IF(G203,INDEX(monster!$J$2:$J$606,MATCH(skill!C203,monster!$A$2:$A$606,0)),Q203)</f>
        <v>1.2</v>
      </c>
      <c r="Q203" s="70"/>
      <c r="R203" s="33">
        <v>150</v>
      </c>
    </row>
    <row r="204" spans="1:18" s="38" customFormat="1" x14ac:dyDescent="0.15">
      <c r="A204" s="32">
        <v>10203</v>
      </c>
      <c r="B204" s="32" t="s">
        <v>712</v>
      </c>
      <c r="C204" s="32">
        <v>1131</v>
      </c>
      <c r="D204" s="32">
        <v>4</v>
      </c>
      <c r="E204" s="15">
        <f>INDEX(monster!$H$2:$H$617,MATCH(skill!C204,monster!$A$2:$A$617,0))</f>
        <v>89.66</v>
      </c>
      <c r="F204" s="15">
        <f>INDEX(monster!$I$2:$I$617,MATCH(C204,monster!$A$2:$A$617,0))</f>
        <v>2.69</v>
      </c>
      <c r="G204" s="15" t="b">
        <f t="shared" si="10"/>
        <v>1</v>
      </c>
      <c r="H204" s="32">
        <v>1</v>
      </c>
      <c r="I204" s="15">
        <f>IF(H204&gt;0,HLOOKUP(R204/100,数值规划表!$B$37:$AA$39,3),1)</f>
        <v>1.7999999999999998</v>
      </c>
      <c r="J204" s="31" t="s">
        <v>1625</v>
      </c>
      <c r="K204" s="15">
        <f>INDEX(数值规划表!$B$15:$B$18,MATCH(J204,攻击范围,0))</f>
        <v>1</v>
      </c>
      <c r="L204" s="30">
        <v>1</v>
      </c>
      <c r="M204" s="41">
        <v>0</v>
      </c>
      <c r="N204" s="15">
        <f t="shared" si="12"/>
        <v>161</v>
      </c>
      <c r="O204" s="15">
        <f t="shared" si="13"/>
        <v>4.84</v>
      </c>
      <c r="P204" s="15">
        <f>IF(G204,INDEX(monster!$J$2:$J$606,MATCH(skill!C204,monster!$A$2:$A$606,0)),Q204)</f>
        <v>1.2</v>
      </c>
      <c r="Q204" s="70"/>
      <c r="R204" s="33">
        <v>150</v>
      </c>
    </row>
    <row r="205" spans="1:18" s="38" customFormat="1" x14ac:dyDescent="0.15">
      <c r="A205" s="32">
        <v>10204</v>
      </c>
      <c r="B205" s="32" t="s">
        <v>713</v>
      </c>
      <c r="C205" s="32">
        <v>1132</v>
      </c>
      <c r="D205" s="32">
        <v>5</v>
      </c>
      <c r="E205" s="15">
        <f>INDEX(monster!$H$2:$H$617,MATCH(skill!C205,monster!$A$2:$A$617,0))</f>
        <v>100.42</v>
      </c>
      <c r="F205" s="15">
        <f>INDEX(monster!$I$2:$I$617,MATCH(C205,monster!$A$2:$A$617,0))</f>
        <v>3.01</v>
      </c>
      <c r="G205" s="15" t="b">
        <f t="shared" ref="G205:G257" si="14">ISNUMBER(FIND("普攻",B205))</f>
        <v>1</v>
      </c>
      <c r="H205" s="32">
        <v>1</v>
      </c>
      <c r="I205" s="15">
        <f>IF(H205&gt;0,HLOOKUP(R205/100,数值规划表!$B$37:$AA$39,3),1)</f>
        <v>1.7999999999999998</v>
      </c>
      <c r="J205" s="31" t="s">
        <v>1625</v>
      </c>
      <c r="K205" s="15">
        <f>INDEX(数值规划表!$B$15:$B$18,MATCH(J205,攻击范围,0))</f>
        <v>1</v>
      </c>
      <c r="L205" s="30">
        <v>1</v>
      </c>
      <c r="M205" s="41">
        <v>0</v>
      </c>
      <c r="N205" s="15">
        <f t="shared" si="12"/>
        <v>181</v>
      </c>
      <c r="O205" s="15">
        <f t="shared" si="13"/>
        <v>5.42</v>
      </c>
      <c r="P205" s="15">
        <f>IF(G205,INDEX(monster!$J$2:$J$606,MATCH(skill!C205,monster!$A$2:$A$606,0)),Q205)</f>
        <v>1.2</v>
      </c>
      <c r="Q205" s="70"/>
      <c r="R205" s="33">
        <v>150</v>
      </c>
    </row>
    <row r="206" spans="1:18" s="38" customFormat="1" x14ac:dyDescent="0.15">
      <c r="A206" s="32">
        <v>10205</v>
      </c>
      <c r="B206" s="32" t="s">
        <v>714</v>
      </c>
      <c r="C206" s="32">
        <v>1133</v>
      </c>
      <c r="D206" s="32">
        <v>6</v>
      </c>
      <c r="E206" s="15">
        <f>INDEX(monster!$H$2:$H$617,MATCH(skill!C206,monster!$A$2:$A$617,0))</f>
        <v>112.47</v>
      </c>
      <c r="F206" s="15">
        <f>INDEX(monster!$I$2:$I$617,MATCH(C206,monster!$A$2:$A$617,0))</f>
        <v>3.37</v>
      </c>
      <c r="G206" s="15" t="b">
        <f t="shared" si="14"/>
        <v>1</v>
      </c>
      <c r="H206" s="32">
        <v>1</v>
      </c>
      <c r="I206" s="15">
        <f>IF(H206&gt;0,HLOOKUP(R206/100,数值规划表!$B$37:$AA$39,3),1)</f>
        <v>1.7999999999999998</v>
      </c>
      <c r="J206" s="31" t="s">
        <v>1625</v>
      </c>
      <c r="K206" s="15">
        <f>INDEX(数值规划表!$B$15:$B$18,MATCH(J206,攻击范围,0))</f>
        <v>1</v>
      </c>
      <c r="L206" s="30">
        <v>1</v>
      </c>
      <c r="M206" s="41">
        <v>0</v>
      </c>
      <c r="N206" s="15">
        <f t="shared" si="12"/>
        <v>202</v>
      </c>
      <c r="O206" s="15">
        <f t="shared" si="13"/>
        <v>6.07</v>
      </c>
      <c r="P206" s="15">
        <f>IF(G206,INDEX(monster!$J$2:$J$606,MATCH(skill!C206,monster!$A$2:$A$606,0)),Q206)</f>
        <v>1.2</v>
      </c>
      <c r="Q206" s="70"/>
      <c r="R206" s="33">
        <v>150</v>
      </c>
    </row>
    <row r="207" spans="1:18" s="38" customFormat="1" x14ac:dyDescent="0.15">
      <c r="A207" s="32">
        <v>10206</v>
      </c>
      <c r="B207" s="32" t="s">
        <v>715</v>
      </c>
      <c r="C207" s="32">
        <v>1134</v>
      </c>
      <c r="D207" s="32">
        <v>7</v>
      </c>
      <c r="E207" s="15">
        <f>INDEX(monster!$H$2:$H$617,MATCH(skill!C207,monster!$A$2:$A$617,0))</f>
        <v>125.96</v>
      </c>
      <c r="F207" s="15">
        <f>INDEX(monster!$I$2:$I$617,MATCH(C207,monster!$A$2:$A$617,0))</f>
        <v>3.78</v>
      </c>
      <c r="G207" s="15" t="b">
        <f t="shared" si="14"/>
        <v>1</v>
      </c>
      <c r="H207" s="32">
        <v>1</v>
      </c>
      <c r="I207" s="15">
        <f>IF(H207&gt;0,HLOOKUP(R207/100,数值规划表!$B$37:$AA$39,3),1)</f>
        <v>1.7999999999999998</v>
      </c>
      <c r="J207" s="31" t="s">
        <v>1625</v>
      </c>
      <c r="K207" s="15">
        <f>INDEX(数值规划表!$B$15:$B$18,MATCH(J207,攻击范围,0))</f>
        <v>1</v>
      </c>
      <c r="L207" s="30">
        <v>1</v>
      </c>
      <c r="M207" s="41">
        <v>0</v>
      </c>
      <c r="N207" s="15">
        <f t="shared" si="12"/>
        <v>227</v>
      </c>
      <c r="O207" s="15">
        <f t="shared" si="13"/>
        <v>6.8</v>
      </c>
      <c r="P207" s="15">
        <f>IF(G207,INDEX(monster!$J$2:$J$606,MATCH(skill!C207,monster!$A$2:$A$606,0)),Q207)</f>
        <v>1.2</v>
      </c>
      <c r="Q207" s="70"/>
      <c r="R207" s="33">
        <v>150</v>
      </c>
    </row>
    <row r="208" spans="1:18" s="38" customFormat="1" x14ac:dyDescent="0.15">
      <c r="A208" s="32">
        <v>10207</v>
      </c>
      <c r="B208" s="32" t="s">
        <v>716</v>
      </c>
      <c r="C208" s="32">
        <v>1135</v>
      </c>
      <c r="D208" s="32">
        <v>8</v>
      </c>
      <c r="E208" s="15">
        <f>INDEX(monster!$H$2:$H$617,MATCH(skill!C208,monster!$A$2:$A$617,0))</f>
        <v>141.08000000000001</v>
      </c>
      <c r="F208" s="15">
        <f>INDEX(monster!$I$2:$I$617,MATCH(C208,monster!$A$2:$A$617,0))</f>
        <v>4.2300000000000004</v>
      </c>
      <c r="G208" s="15" t="b">
        <f t="shared" si="14"/>
        <v>1</v>
      </c>
      <c r="H208" s="32">
        <v>1</v>
      </c>
      <c r="I208" s="15">
        <f>IF(H208&gt;0,HLOOKUP(R208/100,数值规划表!$B$37:$AA$39,3),1)</f>
        <v>1.7999999999999998</v>
      </c>
      <c r="J208" s="31" t="s">
        <v>1625</v>
      </c>
      <c r="K208" s="15">
        <f>INDEX(数值规划表!$B$15:$B$18,MATCH(J208,攻击范围,0))</f>
        <v>1</v>
      </c>
      <c r="L208" s="30">
        <v>1</v>
      </c>
      <c r="M208" s="41">
        <v>0</v>
      </c>
      <c r="N208" s="15">
        <f t="shared" si="12"/>
        <v>254</v>
      </c>
      <c r="O208" s="15">
        <f t="shared" si="13"/>
        <v>7.61</v>
      </c>
      <c r="P208" s="15">
        <f>IF(G208,INDEX(monster!$J$2:$J$606,MATCH(skill!C208,monster!$A$2:$A$606,0)),Q208)</f>
        <v>1.2</v>
      </c>
      <c r="Q208" s="70"/>
      <c r="R208" s="33">
        <v>150</v>
      </c>
    </row>
    <row r="209" spans="1:18" s="38" customFormat="1" x14ac:dyDescent="0.15">
      <c r="A209" s="32">
        <v>10208</v>
      </c>
      <c r="B209" s="32" t="s">
        <v>717</v>
      </c>
      <c r="C209" s="32">
        <v>1136</v>
      </c>
      <c r="D209" s="32">
        <v>9</v>
      </c>
      <c r="E209" s="15">
        <f>INDEX(monster!$H$2:$H$617,MATCH(skill!C209,monster!$A$2:$A$617,0))</f>
        <v>158.01</v>
      </c>
      <c r="F209" s="15">
        <f>INDEX(monster!$I$2:$I$617,MATCH(C209,monster!$A$2:$A$617,0))</f>
        <v>4.74</v>
      </c>
      <c r="G209" s="15" t="b">
        <f t="shared" si="14"/>
        <v>1</v>
      </c>
      <c r="H209" s="32">
        <v>1</v>
      </c>
      <c r="I209" s="15">
        <f>IF(H209&gt;0,HLOOKUP(R209/100,数值规划表!$B$37:$AA$39,3),1)</f>
        <v>1.7999999999999998</v>
      </c>
      <c r="J209" s="31" t="s">
        <v>1625</v>
      </c>
      <c r="K209" s="15">
        <f>INDEX(数值规划表!$B$15:$B$18,MATCH(J209,攻击范围,0))</f>
        <v>1</v>
      </c>
      <c r="L209" s="30">
        <v>1</v>
      </c>
      <c r="M209" s="41">
        <v>0</v>
      </c>
      <c r="N209" s="15">
        <f t="shared" si="12"/>
        <v>284</v>
      </c>
      <c r="O209" s="15">
        <f t="shared" si="13"/>
        <v>8.5299999999999994</v>
      </c>
      <c r="P209" s="15">
        <f>IF(G209,INDEX(monster!$J$2:$J$606,MATCH(skill!C209,monster!$A$2:$A$606,0)),Q209)</f>
        <v>1.2</v>
      </c>
      <c r="Q209" s="70"/>
      <c r="R209" s="33">
        <v>150</v>
      </c>
    </row>
    <row r="210" spans="1:18" s="38" customFormat="1" x14ac:dyDescent="0.15">
      <c r="A210" s="32">
        <v>10209</v>
      </c>
      <c r="B210" s="32" t="s">
        <v>718</v>
      </c>
      <c r="C210" s="32">
        <v>1137</v>
      </c>
      <c r="D210" s="32">
        <v>10</v>
      </c>
      <c r="E210" s="15">
        <f>INDEX(monster!$H$2:$H$617,MATCH(skill!C210,monster!$A$2:$A$617,0))</f>
        <v>176.97</v>
      </c>
      <c r="F210" s="15">
        <f>INDEX(monster!$I$2:$I$617,MATCH(C210,monster!$A$2:$A$617,0))</f>
        <v>5.31</v>
      </c>
      <c r="G210" s="15" t="b">
        <f t="shared" si="14"/>
        <v>1</v>
      </c>
      <c r="H210" s="32">
        <v>1</v>
      </c>
      <c r="I210" s="15">
        <f>IF(H210&gt;0,HLOOKUP(R210/100,数值规划表!$B$37:$AA$39,3),1)</f>
        <v>1.7999999999999998</v>
      </c>
      <c r="J210" s="31" t="s">
        <v>1625</v>
      </c>
      <c r="K210" s="15">
        <f>INDEX(数值规划表!$B$15:$B$18,MATCH(J210,攻击范围,0))</f>
        <v>1</v>
      </c>
      <c r="L210" s="30">
        <v>1</v>
      </c>
      <c r="M210" s="41">
        <v>0</v>
      </c>
      <c r="N210" s="15">
        <f t="shared" si="12"/>
        <v>319</v>
      </c>
      <c r="O210" s="15">
        <f t="shared" si="13"/>
        <v>9.56</v>
      </c>
      <c r="P210" s="15">
        <f>IF(G210,INDEX(monster!$J$2:$J$606,MATCH(skill!C210,monster!$A$2:$A$606,0)),Q210)</f>
        <v>1.2</v>
      </c>
      <c r="Q210" s="70"/>
      <c r="R210" s="33">
        <v>150</v>
      </c>
    </row>
    <row r="211" spans="1:18" s="38" customFormat="1" x14ac:dyDescent="0.15">
      <c r="A211" s="32">
        <v>11174</v>
      </c>
      <c r="B211" s="32" t="s">
        <v>2441</v>
      </c>
      <c r="C211" s="32">
        <v>1067</v>
      </c>
      <c r="D211" s="32">
        <v>0</v>
      </c>
      <c r="E211" s="15">
        <f>INDEX(monster!$H$2:$H$617,MATCH(skill!C211,monster!$A$2:$A$617,0))</f>
        <v>42.01</v>
      </c>
      <c r="F211" s="15">
        <f>INDEX(monster!$I$2:$I$617,MATCH(C211,monster!$A$2:$A$617,0))</f>
        <v>1.26</v>
      </c>
      <c r="G211" s="15" t="b">
        <f t="shared" si="14"/>
        <v>0</v>
      </c>
      <c r="H211" s="32">
        <v>0</v>
      </c>
      <c r="I211" s="15">
        <f>IF(H211&gt;0,HLOOKUP(R211/100,数值规划表!$B$37:$AA$39,3),1)</f>
        <v>1</v>
      </c>
      <c r="J211" s="31" t="s">
        <v>1625</v>
      </c>
      <c r="K211" s="15">
        <f>INDEX(数值规划表!$B$15:$B$18,MATCH(J211,攻击范围,0))</f>
        <v>1</v>
      </c>
      <c r="L211" s="30">
        <v>0.3</v>
      </c>
      <c r="M211" s="41">
        <v>6</v>
      </c>
      <c r="N211" s="15">
        <f t="shared" si="12"/>
        <v>13</v>
      </c>
      <c r="O211" s="15">
        <f t="shared" si="13"/>
        <v>0.38</v>
      </c>
      <c r="P211" s="15">
        <f>IF(G211,INDEX(monster!$J$2:$J$606,MATCH(skill!C211,monster!$A$2:$A$606,0)),Q211)</f>
        <v>0</v>
      </c>
      <c r="Q211" s="70"/>
      <c r="R211" s="33">
        <v>150</v>
      </c>
    </row>
    <row r="212" spans="1:18" s="38" customFormat="1" x14ac:dyDescent="0.15">
      <c r="A212" s="32">
        <v>11175</v>
      </c>
      <c r="B212" s="32" t="s">
        <v>2442</v>
      </c>
      <c r="C212" s="32">
        <v>1068</v>
      </c>
      <c r="D212" s="32">
        <v>1</v>
      </c>
      <c r="E212" s="15">
        <f>INDEX(monster!$H$2:$H$617,MATCH(skill!C212,monster!$A$2:$A$617,0))</f>
        <v>47.05</v>
      </c>
      <c r="F212" s="15">
        <f>INDEX(monster!$I$2:$I$617,MATCH(C212,monster!$A$2:$A$617,0))</f>
        <v>1.41</v>
      </c>
      <c r="G212" s="15" t="b">
        <f t="shared" si="14"/>
        <v>0</v>
      </c>
      <c r="H212" s="32">
        <v>0</v>
      </c>
      <c r="I212" s="15">
        <f>IF(H212&gt;0,HLOOKUP(R212/100,数值规划表!$B$37:$AA$39,3),1)</f>
        <v>1</v>
      </c>
      <c r="J212" s="31" t="s">
        <v>1625</v>
      </c>
      <c r="K212" s="15">
        <f>INDEX(数值规划表!$B$15:$B$18,MATCH(J212,攻击范围,0))</f>
        <v>1</v>
      </c>
      <c r="L212" s="70">
        <v>0.3</v>
      </c>
      <c r="M212" s="70">
        <v>6</v>
      </c>
      <c r="N212" s="15">
        <f t="shared" si="12"/>
        <v>14</v>
      </c>
      <c r="O212" s="15">
        <f t="shared" si="13"/>
        <v>0.42</v>
      </c>
      <c r="P212" s="15">
        <f>IF(G212,INDEX(monster!$J$2:$J$606,MATCH(skill!C212,monster!$A$2:$A$606,0)),Q212)</f>
        <v>0</v>
      </c>
      <c r="Q212" s="70"/>
      <c r="R212" s="33">
        <v>150</v>
      </c>
    </row>
    <row r="213" spans="1:18" s="38" customFormat="1" x14ac:dyDescent="0.15">
      <c r="A213" s="32">
        <v>11176</v>
      </c>
      <c r="B213" s="32" t="s">
        <v>2443</v>
      </c>
      <c r="C213" s="32">
        <v>1069</v>
      </c>
      <c r="D213" s="32">
        <v>2</v>
      </c>
      <c r="E213" s="15">
        <f>INDEX(monster!$H$2:$H$617,MATCH(skill!C213,monster!$A$2:$A$617,0))</f>
        <v>52.7</v>
      </c>
      <c r="F213" s="15">
        <f>INDEX(monster!$I$2:$I$617,MATCH(C213,monster!$A$2:$A$617,0))</f>
        <v>1.58</v>
      </c>
      <c r="G213" s="15" t="b">
        <f t="shared" si="14"/>
        <v>0</v>
      </c>
      <c r="H213" s="32">
        <v>0</v>
      </c>
      <c r="I213" s="15">
        <f>IF(H213&gt;0,HLOOKUP(R213/100,数值规划表!$B$37:$AA$39,3),1)</f>
        <v>1</v>
      </c>
      <c r="J213" s="31" t="s">
        <v>1625</v>
      </c>
      <c r="K213" s="15">
        <f>INDEX(数值规划表!$B$15:$B$18,MATCH(J213,攻击范围,0))</f>
        <v>1</v>
      </c>
      <c r="L213" s="70">
        <v>0.3</v>
      </c>
      <c r="M213" s="70">
        <v>6</v>
      </c>
      <c r="N213" s="15">
        <f t="shared" si="12"/>
        <v>16</v>
      </c>
      <c r="O213" s="15">
        <f t="shared" si="13"/>
        <v>0.47</v>
      </c>
      <c r="P213" s="15">
        <f>IF(G213,INDEX(monster!$J$2:$J$606,MATCH(skill!C213,monster!$A$2:$A$606,0)),Q213)</f>
        <v>0</v>
      </c>
      <c r="Q213" s="70"/>
      <c r="R213" s="33">
        <v>150</v>
      </c>
    </row>
    <row r="214" spans="1:18" s="38" customFormat="1" x14ac:dyDescent="0.15">
      <c r="A214" s="32">
        <v>11177</v>
      </c>
      <c r="B214" s="32" t="s">
        <v>2444</v>
      </c>
      <c r="C214" s="32">
        <v>1070</v>
      </c>
      <c r="D214" s="32">
        <v>3</v>
      </c>
      <c r="E214" s="15">
        <f>INDEX(monster!$H$2:$H$617,MATCH(skill!C214,monster!$A$2:$A$617,0))</f>
        <v>59.02</v>
      </c>
      <c r="F214" s="15">
        <f>INDEX(monster!$I$2:$I$617,MATCH(C214,monster!$A$2:$A$617,0))</f>
        <v>1.77</v>
      </c>
      <c r="G214" s="15" t="b">
        <f t="shared" si="14"/>
        <v>0</v>
      </c>
      <c r="H214" s="32">
        <v>0</v>
      </c>
      <c r="I214" s="15">
        <f>IF(H214&gt;0,HLOOKUP(R214/100,数值规划表!$B$37:$AA$39,3),1)</f>
        <v>1</v>
      </c>
      <c r="J214" s="31" t="s">
        <v>1625</v>
      </c>
      <c r="K214" s="15">
        <f>INDEX(数值规划表!$B$15:$B$18,MATCH(J214,攻击范围,0))</f>
        <v>1</v>
      </c>
      <c r="L214" s="70">
        <v>0.3</v>
      </c>
      <c r="M214" s="70">
        <v>6</v>
      </c>
      <c r="N214" s="15">
        <f t="shared" si="12"/>
        <v>18</v>
      </c>
      <c r="O214" s="15">
        <f t="shared" si="13"/>
        <v>0.53</v>
      </c>
      <c r="P214" s="15">
        <f>IF(G214,INDEX(monster!$J$2:$J$606,MATCH(skill!C214,monster!$A$2:$A$606,0)),Q214)</f>
        <v>0</v>
      </c>
      <c r="Q214" s="70"/>
      <c r="R214" s="33">
        <v>150</v>
      </c>
    </row>
    <row r="215" spans="1:18" s="38" customFormat="1" x14ac:dyDescent="0.15">
      <c r="A215" s="32">
        <v>11178</v>
      </c>
      <c r="B215" s="32" t="s">
        <v>2445</v>
      </c>
      <c r="C215" s="32">
        <v>1071</v>
      </c>
      <c r="D215" s="32">
        <v>4</v>
      </c>
      <c r="E215" s="15">
        <f>INDEX(monster!$H$2:$H$617,MATCH(skill!C215,monster!$A$2:$A$617,0))</f>
        <v>66.099999999999994</v>
      </c>
      <c r="F215" s="15">
        <f>INDEX(monster!$I$2:$I$617,MATCH(C215,monster!$A$2:$A$617,0))</f>
        <v>1.98</v>
      </c>
      <c r="G215" s="15" t="b">
        <f t="shared" si="14"/>
        <v>0</v>
      </c>
      <c r="H215" s="32">
        <v>0</v>
      </c>
      <c r="I215" s="15">
        <f>IF(H215&gt;0,HLOOKUP(R215/100,数值规划表!$B$37:$AA$39,3),1)</f>
        <v>1</v>
      </c>
      <c r="J215" s="31" t="s">
        <v>1625</v>
      </c>
      <c r="K215" s="15">
        <f>INDEX(数值规划表!$B$15:$B$18,MATCH(J215,攻击范围,0))</f>
        <v>1</v>
      </c>
      <c r="L215" s="70">
        <v>0.3</v>
      </c>
      <c r="M215" s="70">
        <v>6</v>
      </c>
      <c r="N215" s="15">
        <f t="shared" si="12"/>
        <v>20</v>
      </c>
      <c r="O215" s="15">
        <f t="shared" si="13"/>
        <v>0.59</v>
      </c>
      <c r="P215" s="15">
        <f>IF(G215,INDEX(monster!$J$2:$J$606,MATCH(skill!C215,monster!$A$2:$A$606,0)),Q215)</f>
        <v>0</v>
      </c>
      <c r="Q215" s="70"/>
      <c r="R215" s="33">
        <v>150</v>
      </c>
    </row>
    <row r="216" spans="1:18" s="38" customFormat="1" x14ac:dyDescent="0.15">
      <c r="A216" s="32">
        <v>11179</v>
      </c>
      <c r="B216" s="32" t="s">
        <v>2446</v>
      </c>
      <c r="C216" s="32">
        <v>1072</v>
      </c>
      <c r="D216" s="32">
        <v>5</v>
      </c>
      <c r="E216" s="15">
        <f>INDEX(monster!$H$2:$H$617,MATCH(skill!C216,monster!$A$2:$A$617,0))</f>
        <v>74.040000000000006</v>
      </c>
      <c r="F216" s="15">
        <f>INDEX(monster!$I$2:$I$617,MATCH(C216,monster!$A$2:$A$617,0))</f>
        <v>2.2200000000000002</v>
      </c>
      <c r="G216" s="15" t="b">
        <f t="shared" si="14"/>
        <v>0</v>
      </c>
      <c r="H216" s="32">
        <v>0</v>
      </c>
      <c r="I216" s="15">
        <f>IF(H216&gt;0,HLOOKUP(R216/100,数值规划表!$B$37:$AA$39,3),1)</f>
        <v>1</v>
      </c>
      <c r="J216" s="31" t="s">
        <v>1625</v>
      </c>
      <c r="K216" s="15">
        <f>INDEX(数值规划表!$B$15:$B$18,MATCH(J216,攻击范围,0))</f>
        <v>1</v>
      </c>
      <c r="L216" s="70">
        <v>0.3</v>
      </c>
      <c r="M216" s="70">
        <v>6</v>
      </c>
      <c r="N216" s="15">
        <f t="shared" si="12"/>
        <v>22</v>
      </c>
      <c r="O216" s="15">
        <f t="shared" si="13"/>
        <v>0.67</v>
      </c>
      <c r="P216" s="15">
        <f>IF(G216,INDEX(monster!$J$2:$J$606,MATCH(skill!C216,monster!$A$2:$A$606,0)),Q216)</f>
        <v>0</v>
      </c>
      <c r="Q216" s="70"/>
      <c r="R216" s="33">
        <v>150</v>
      </c>
    </row>
    <row r="217" spans="1:18" s="38" customFormat="1" x14ac:dyDescent="0.15">
      <c r="A217" s="32">
        <v>11180</v>
      </c>
      <c r="B217" s="32" t="s">
        <v>2447</v>
      </c>
      <c r="C217" s="32">
        <v>1073</v>
      </c>
      <c r="D217" s="32">
        <v>6</v>
      </c>
      <c r="E217" s="15">
        <f>INDEX(monster!$H$2:$H$617,MATCH(skill!C217,monster!$A$2:$A$617,0))</f>
        <v>82.92</v>
      </c>
      <c r="F217" s="15">
        <f>INDEX(monster!$I$2:$I$617,MATCH(C217,monster!$A$2:$A$617,0))</f>
        <v>2.4900000000000002</v>
      </c>
      <c r="G217" s="15" t="b">
        <f t="shared" si="14"/>
        <v>0</v>
      </c>
      <c r="H217" s="32">
        <v>0</v>
      </c>
      <c r="I217" s="15">
        <f>IF(H217&gt;0,HLOOKUP(R217/100,数值规划表!$B$37:$AA$39,3),1)</f>
        <v>1</v>
      </c>
      <c r="J217" s="31" t="s">
        <v>1625</v>
      </c>
      <c r="K217" s="15">
        <f>INDEX(数值规划表!$B$15:$B$18,MATCH(J217,攻击范围,0))</f>
        <v>1</v>
      </c>
      <c r="L217" s="70">
        <v>0.3</v>
      </c>
      <c r="M217" s="70">
        <v>6</v>
      </c>
      <c r="N217" s="15">
        <f t="shared" si="12"/>
        <v>25</v>
      </c>
      <c r="O217" s="15">
        <f t="shared" si="13"/>
        <v>0.75</v>
      </c>
      <c r="P217" s="15">
        <f>IF(G217,INDEX(monster!$J$2:$J$606,MATCH(skill!C217,monster!$A$2:$A$606,0)),Q217)</f>
        <v>0</v>
      </c>
      <c r="Q217" s="70"/>
      <c r="R217" s="33">
        <v>150</v>
      </c>
    </row>
    <row r="218" spans="1:18" s="38" customFormat="1" x14ac:dyDescent="0.15">
      <c r="A218" s="32">
        <v>11181</v>
      </c>
      <c r="B218" s="32" t="s">
        <v>2448</v>
      </c>
      <c r="C218" s="32">
        <v>1074</v>
      </c>
      <c r="D218" s="32">
        <v>7</v>
      </c>
      <c r="E218" s="15">
        <f>INDEX(monster!$H$2:$H$617,MATCH(skill!C218,monster!$A$2:$A$617,0))</f>
        <v>92.87</v>
      </c>
      <c r="F218" s="15">
        <f>INDEX(monster!$I$2:$I$617,MATCH(C218,monster!$A$2:$A$617,0))</f>
        <v>2.79</v>
      </c>
      <c r="G218" s="15" t="b">
        <f t="shared" si="14"/>
        <v>0</v>
      </c>
      <c r="H218" s="32">
        <v>0</v>
      </c>
      <c r="I218" s="15">
        <f>IF(H218&gt;0,HLOOKUP(R218/100,数值规划表!$B$37:$AA$39,3),1)</f>
        <v>1</v>
      </c>
      <c r="J218" s="31" t="s">
        <v>1625</v>
      </c>
      <c r="K218" s="15">
        <f>INDEX(数值规划表!$B$15:$B$18,MATCH(J218,攻击范围,0))</f>
        <v>1</v>
      </c>
      <c r="L218" s="70">
        <v>0.3</v>
      </c>
      <c r="M218" s="70">
        <v>6</v>
      </c>
      <c r="N218" s="15">
        <f t="shared" si="12"/>
        <v>28</v>
      </c>
      <c r="O218" s="15">
        <f t="shared" si="13"/>
        <v>0.84</v>
      </c>
      <c r="P218" s="15">
        <f>IF(G218,INDEX(monster!$J$2:$J$606,MATCH(skill!C218,monster!$A$2:$A$606,0)),Q218)</f>
        <v>0</v>
      </c>
      <c r="Q218" s="70"/>
      <c r="R218" s="33">
        <v>150</v>
      </c>
    </row>
    <row r="219" spans="1:18" s="38" customFormat="1" x14ac:dyDescent="0.15">
      <c r="A219" s="32">
        <v>11182</v>
      </c>
      <c r="B219" s="32" t="s">
        <v>2449</v>
      </c>
      <c r="C219" s="32">
        <v>1075</v>
      </c>
      <c r="D219" s="32">
        <v>8</v>
      </c>
      <c r="E219" s="15">
        <f>INDEX(monster!$H$2:$H$617,MATCH(skill!C219,monster!$A$2:$A$617,0))</f>
        <v>104.02</v>
      </c>
      <c r="F219" s="15">
        <f>INDEX(monster!$I$2:$I$617,MATCH(C219,monster!$A$2:$A$617,0))</f>
        <v>3.12</v>
      </c>
      <c r="G219" s="15" t="b">
        <f t="shared" si="14"/>
        <v>0</v>
      </c>
      <c r="H219" s="32">
        <v>0</v>
      </c>
      <c r="I219" s="15">
        <f>IF(H219&gt;0,HLOOKUP(R219/100,数值规划表!$B$37:$AA$39,3),1)</f>
        <v>1</v>
      </c>
      <c r="J219" s="31" t="s">
        <v>1625</v>
      </c>
      <c r="K219" s="15">
        <f>INDEX(数值规划表!$B$15:$B$18,MATCH(J219,攻击范围,0))</f>
        <v>1</v>
      </c>
      <c r="L219" s="70">
        <v>0.3</v>
      </c>
      <c r="M219" s="70">
        <v>6</v>
      </c>
      <c r="N219" s="15">
        <f t="shared" si="12"/>
        <v>31</v>
      </c>
      <c r="O219" s="15">
        <f t="shared" si="13"/>
        <v>0.94</v>
      </c>
      <c r="P219" s="15">
        <f>IF(G219,INDEX(monster!$J$2:$J$606,MATCH(skill!C219,monster!$A$2:$A$606,0)),Q219)</f>
        <v>0</v>
      </c>
      <c r="Q219" s="70"/>
      <c r="R219" s="33">
        <v>150</v>
      </c>
    </row>
    <row r="220" spans="1:18" s="38" customFormat="1" x14ac:dyDescent="0.15">
      <c r="A220" s="32">
        <v>11183</v>
      </c>
      <c r="B220" s="32" t="s">
        <v>2450</v>
      </c>
      <c r="C220" s="32">
        <v>1076</v>
      </c>
      <c r="D220" s="32">
        <v>9</v>
      </c>
      <c r="E220" s="15">
        <f>INDEX(monster!$H$2:$H$617,MATCH(skill!C220,monster!$A$2:$A$617,0))</f>
        <v>116.5</v>
      </c>
      <c r="F220" s="15">
        <f>INDEX(monster!$I$2:$I$617,MATCH(C220,monster!$A$2:$A$617,0))</f>
        <v>3.49</v>
      </c>
      <c r="G220" s="15" t="b">
        <f t="shared" si="14"/>
        <v>0</v>
      </c>
      <c r="H220" s="32">
        <v>0</v>
      </c>
      <c r="I220" s="15">
        <f>IF(H220&gt;0,HLOOKUP(R220/100,数值规划表!$B$37:$AA$39,3),1)</f>
        <v>1</v>
      </c>
      <c r="J220" s="31" t="s">
        <v>1625</v>
      </c>
      <c r="K220" s="15">
        <f>INDEX(数值规划表!$B$15:$B$18,MATCH(J220,攻击范围,0))</f>
        <v>1</v>
      </c>
      <c r="L220" s="70">
        <v>0.3</v>
      </c>
      <c r="M220" s="70">
        <v>6</v>
      </c>
      <c r="N220" s="15">
        <f t="shared" si="12"/>
        <v>35</v>
      </c>
      <c r="O220" s="15">
        <f t="shared" si="13"/>
        <v>1.05</v>
      </c>
      <c r="P220" s="15">
        <f>IF(G220,INDEX(monster!$J$2:$J$606,MATCH(skill!C220,monster!$A$2:$A$606,0)),Q220)</f>
        <v>0</v>
      </c>
      <c r="Q220" s="70"/>
      <c r="R220" s="33">
        <v>150</v>
      </c>
    </row>
    <row r="221" spans="1:18" s="38" customFormat="1" x14ac:dyDescent="0.15">
      <c r="A221" s="32">
        <v>11184</v>
      </c>
      <c r="B221" s="32" t="s">
        <v>2451</v>
      </c>
      <c r="C221" s="32">
        <v>1077</v>
      </c>
      <c r="D221" s="32">
        <v>10</v>
      </c>
      <c r="E221" s="15">
        <f>INDEX(monster!$H$2:$H$617,MATCH(skill!C221,monster!$A$2:$A$617,0))</f>
        <v>130.47999999999999</v>
      </c>
      <c r="F221" s="15">
        <f>INDEX(monster!$I$2:$I$617,MATCH(C221,monster!$A$2:$A$617,0))</f>
        <v>3.91</v>
      </c>
      <c r="G221" s="15" t="b">
        <f t="shared" si="14"/>
        <v>0</v>
      </c>
      <c r="H221" s="32">
        <v>0</v>
      </c>
      <c r="I221" s="15">
        <f>IF(H221&gt;0,HLOOKUP(R221/100,数值规划表!$B$37:$AA$39,3),1)</f>
        <v>1</v>
      </c>
      <c r="J221" s="31" t="s">
        <v>1625</v>
      </c>
      <c r="K221" s="15">
        <f>INDEX(数值规划表!$B$15:$B$18,MATCH(J221,攻击范围,0))</f>
        <v>1</v>
      </c>
      <c r="L221" s="70">
        <v>0.3</v>
      </c>
      <c r="M221" s="70">
        <v>6</v>
      </c>
      <c r="N221" s="15">
        <f t="shared" si="12"/>
        <v>39</v>
      </c>
      <c r="O221" s="15">
        <f t="shared" si="13"/>
        <v>1.17</v>
      </c>
      <c r="P221" s="15">
        <f>IF(G221,INDEX(monster!$J$2:$J$606,MATCH(skill!C221,monster!$A$2:$A$606,0)),Q221)</f>
        <v>0</v>
      </c>
      <c r="Q221" s="70"/>
      <c r="R221" s="33">
        <v>150</v>
      </c>
    </row>
    <row r="222" spans="1:18" s="38" customFormat="1" x14ac:dyDescent="0.15">
      <c r="A222" s="32">
        <v>10221</v>
      </c>
      <c r="B222" s="32" t="s">
        <v>2832</v>
      </c>
      <c r="C222" s="32">
        <v>1140</v>
      </c>
      <c r="D222" s="32">
        <v>0</v>
      </c>
      <c r="E222" s="15">
        <f>INDEX(monster!$H$2:$H$617,MATCH(skill!C222,monster!$A$2:$A$617,0))</f>
        <v>83.72</v>
      </c>
      <c r="F222" s="15">
        <f>INDEX(monster!$I$2:$I$617,MATCH(C222,monster!$A$2:$A$617,0))</f>
        <v>2.5099999999999998</v>
      </c>
      <c r="G222" s="15" t="b">
        <f t="shared" si="14"/>
        <v>1</v>
      </c>
      <c r="H222" s="32">
        <v>1</v>
      </c>
      <c r="I222" s="15">
        <f>IF(H222&gt;0,HLOOKUP(R222/100,数值规划表!$B$37:$AA$39,3),1)</f>
        <v>1.7999999999999998</v>
      </c>
      <c r="J222" s="31" t="s">
        <v>1625</v>
      </c>
      <c r="K222" s="15">
        <f>INDEX(数值规划表!$B$15:$B$18,MATCH(J222,攻击范围,0))</f>
        <v>1</v>
      </c>
      <c r="L222" s="30">
        <v>1</v>
      </c>
      <c r="M222" s="41">
        <v>0</v>
      </c>
      <c r="N222" s="15">
        <f t="shared" si="12"/>
        <v>151</v>
      </c>
      <c r="O222" s="15">
        <f t="shared" si="13"/>
        <v>4.5199999999999996</v>
      </c>
      <c r="P222" s="15">
        <f>IF(G222,INDEX(monster!$J$2:$J$606,MATCH(skill!C222,monster!$A$2:$A$606,0)),Q222)</f>
        <v>1.2</v>
      </c>
      <c r="Q222" s="70"/>
      <c r="R222" s="33">
        <v>150</v>
      </c>
    </row>
    <row r="223" spans="1:18" s="38" customFormat="1" x14ac:dyDescent="0.15">
      <c r="A223" s="32">
        <v>10222</v>
      </c>
      <c r="B223" s="32" t="s">
        <v>2833</v>
      </c>
      <c r="C223" s="32">
        <v>1141</v>
      </c>
      <c r="D223" s="32">
        <v>1</v>
      </c>
      <c r="E223" s="15">
        <f>INDEX(monster!$H$2:$H$617,MATCH(skill!C223,monster!$A$2:$A$617,0))</f>
        <v>93.77</v>
      </c>
      <c r="F223" s="15">
        <f>INDEX(monster!$I$2:$I$617,MATCH(C223,monster!$A$2:$A$617,0))</f>
        <v>2.81</v>
      </c>
      <c r="G223" s="15" t="b">
        <f t="shared" si="14"/>
        <v>1</v>
      </c>
      <c r="H223" s="32">
        <v>1</v>
      </c>
      <c r="I223" s="15">
        <f>IF(H223&gt;0,HLOOKUP(R223/100,数值规划表!$B$37:$AA$39,3),1)</f>
        <v>1.7999999999999998</v>
      </c>
      <c r="J223" s="31" t="s">
        <v>1625</v>
      </c>
      <c r="K223" s="15">
        <f>INDEX(数值规划表!$B$15:$B$18,MATCH(J223,攻击范围,0))</f>
        <v>1</v>
      </c>
      <c r="L223" s="30">
        <v>1</v>
      </c>
      <c r="M223" s="41">
        <v>0</v>
      </c>
      <c r="N223" s="15">
        <f t="shared" si="12"/>
        <v>169</v>
      </c>
      <c r="O223" s="15">
        <f t="shared" si="13"/>
        <v>5.0599999999999996</v>
      </c>
      <c r="P223" s="15">
        <f>IF(G223,INDEX(monster!$J$2:$J$606,MATCH(skill!C223,monster!$A$2:$A$606,0)),Q223)</f>
        <v>1.2</v>
      </c>
      <c r="Q223" s="70"/>
      <c r="R223" s="33">
        <v>150</v>
      </c>
    </row>
    <row r="224" spans="1:18" s="38" customFormat="1" x14ac:dyDescent="0.15">
      <c r="A224" s="32">
        <v>10223</v>
      </c>
      <c r="B224" s="32" t="s">
        <v>729</v>
      </c>
      <c r="C224" s="32">
        <v>1142</v>
      </c>
      <c r="D224" s="32">
        <v>2</v>
      </c>
      <c r="E224" s="15">
        <f>INDEX(monster!$H$2:$H$617,MATCH(skill!C224,monster!$A$2:$A$617,0))</f>
        <v>105.02</v>
      </c>
      <c r="F224" s="15">
        <f>INDEX(monster!$I$2:$I$617,MATCH(C224,monster!$A$2:$A$617,0))</f>
        <v>3.15</v>
      </c>
      <c r="G224" s="15" t="b">
        <f t="shared" si="14"/>
        <v>1</v>
      </c>
      <c r="H224" s="32">
        <v>1</v>
      </c>
      <c r="I224" s="15">
        <f>IF(H224&gt;0,HLOOKUP(R224/100,数值规划表!$B$37:$AA$39,3),1)</f>
        <v>1.7999999999999998</v>
      </c>
      <c r="J224" s="31" t="s">
        <v>1625</v>
      </c>
      <c r="K224" s="15">
        <f>INDEX(数值规划表!$B$15:$B$18,MATCH(J224,攻击范围,0))</f>
        <v>1</v>
      </c>
      <c r="L224" s="30">
        <v>1</v>
      </c>
      <c r="M224" s="41">
        <v>0</v>
      </c>
      <c r="N224" s="15">
        <f t="shared" si="12"/>
        <v>189</v>
      </c>
      <c r="O224" s="15">
        <f t="shared" si="13"/>
        <v>5.67</v>
      </c>
      <c r="P224" s="15">
        <f>IF(G224,INDEX(monster!$J$2:$J$606,MATCH(skill!C224,monster!$A$2:$A$606,0)),Q224)</f>
        <v>1.2</v>
      </c>
      <c r="Q224" s="70"/>
      <c r="R224" s="33">
        <v>150</v>
      </c>
    </row>
    <row r="225" spans="1:18" s="38" customFormat="1" x14ac:dyDescent="0.15">
      <c r="A225" s="32">
        <v>10224</v>
      </c>
      <c r="B225" s="32" t="s">
        <v>730</v>
      </c>
      <c r="C225" s="32">
        <v>1143</v>
      </c>
      <c r="D225" s="32">
        <v>3</v>
      </c>
      <c r="E225" s="15">
        <f>INDEX(monster!$H$2:$H$617,MATCH(skill!C225,monster!$A$2:$A$617,0))</f>
        <v>117.62</v>
      </c>
      <c r="F225" s="15">
        <f>INDEX(monster!$I$2:$I$617,MATCH(C225,monster!$A$2:$A$617,0))</f>
        <v>3.53</v>
      </c>
      <c r="G225" s="15" t="b">
        <f t="shared" si="14"/>
        <v>1</v>
      </c>
      <c r="H225" s="32">
        <v>1</v>
      </c>
      <c r="I225" s="15">
        <f>IF(H225&gt;0,HLOOKUP(R225/100,数值规划表!$B$37:$AA$39,3),1)</f>
        <v>1.7999999999999998</v>
      </c>
      <c r="J225" s="31" t="s">
        <v>1625</v>
      </c>
      <c r="K225" s="15">
        <f>INDEX(数值规划表!$B$15:$B$18,MATCH(J225,攻击范围,0))</f>
        <v>1</v>
      </c>
      <c r="L225" s="30">
        <v>1</v>
      </c>
      <c r="M225" s="41">
        <v>0</v>
      </c>
      <c r="N225" s="15">
        <f t="shared" si="12"/>
        <v>212</v>
      </c>
      <c r="O225" s="15">
        <f t="shared" si="13"/>
        <v>6.35</v>
      </c>
      <c r="P225" s="15">
        <f>IF(G225,INDEX(monster!$J$2:$J$606,MATCH(skill!C225,monster!$A$2:$A$606,0)),Q225)</f>
        <v>1.2</v>
      </c>
      <c r="Q225" s="70"/>
      <c r="R225" s="33">
        <v>150</v>
      </c>
    </row>
    <row r="226" spans="1:18" s="38" customFormat="1" x14ac:dyDescent="0.15">
      <c r="A226" s="32">
        <v>10225</v>
      </c>
      <c r="B226" s="32" t="s">
        <v>731</v>
      </c>
      <c r="C226" s="32">
        <v>1144</v>
      </c>
      <c r="D226" s="32">
        <v>4</v>
      </c>
      <c r="E226" s="15">
        <f>INDEX(monster!$H$2:$H$617,MATCH(skill!C226,monster!$A$2:$A$617,0))</f>
        <v>131.74</v>
      </c>
      <c r="F226" s="15">
        <f>INDEX(monster!$I$2:$I$617,MATCH(C226,monster!$A$2:$A$617,0))</f>
        <v>3.95</v>
      </c>
      <c r="G226" s="15" t="b">
        <f t="shared" si="14"/>
        <v>1</v>
      </c>
      <c r="H226" s="32">
        <v>1</v>
      </c>
      <c r="I226" s="15">
        <f>IF(H226&gt;0,HLOOKUP(R226/100,数值规划表!$B$37:$AA$39,3),1)</f>
        <v>1.7999999999999998</v>
      </c>
      <c r="J226" s="31" t="s">
        <v>1625</v>
      </c>
      <c r="K226" s="15">
        <f>INDEX(数值规划表!$B$15:$B$18,MATCH(J226,攻击范围,0))</f>
        <v>1</v>
      </c>
      <c r="L226" s="30">
        <v>1</v>
      </c>
      <c r="M226" s="41">
        <v>0</v>
      </c>
      <c r="N226" s="15">
        <f t="shared" si="12"/>
        <v>237</v>
      </c>
      <c r="O226" s="15">
        <f t="shared" si="13"/>
        <v>7.11</v>
      </c>
      <c r="P226" s="15">
        <f>IF(G226,INDEX(monster!$J$2:$J$606,MATCH(skill!C226,monster!$A$2:$A$606,0)),Q226)</f>
        <v>1.2</v>
      </c>
      <c r="Q226" s="70"/>
      <c r="R226" s="33">
        <v>150</v>
      </c>
    </row>
    <row r="227" spans="1:18" s="38" customFormat="1" x14ac:dyDescent="0.15">
      <c r="A227" s="32">
        <v>10226</v>
      </c>
      <c r="B227" s="32" t="s">
        <v>732</v>
      </c>
      <c r="C227" s="32">
        <v>1145</v>
      </c>
      <c r="D227" s="32">
        <v>5</v>
      </c>
      <c r="E227" s="15">
        <f>INDEX(monster!$H$2:$H$617,MATCH(skill!C227,monster!$A$2:$A$617,0))</f>
        <v>147.54</v>
      </c>
      <c r="F227" s="15">
        <f>INDEX(monster!$I$2:$I$617,MATCH(C227,monster!$A$2:$A$617,0))</f>
        <v>4.43</v>
      </c>
      <c r="G227" s="15" t="b">
        <f t="shared" si="14"/>
        <v>1</v>
      </c>
      <c r="H227" s="32">
        <v>1</v>
      </c>
      <c r="I227" s="15">
        <f>IF(H227&gt;0,HLOOKUP(R227/100,数值规划表!$B$37:$AA$39,3),1)</f>
        <v>1.7999999999999998</v>
      </c>
      <c r="J227" s="31" t="s">
        <v>1625</v>
      </c>
      <c r="K227" s="15">
        <f>INDEX(数值规划表!$B$15:$B$18,MATCH(J227,攻击范围,0))</f>
        <v>1</v>
      </c>
      <c r="L227" s="30">
        <v>1</v>
      </c>
      <c r="M227" s="41">
        <v>0</v>
      </c>
      <c r="N227" s="15">
        <f t="shared" si="12"/>
        <v>266</v>
      </c>
      <c r="O227" s="15">
        <f t="shared" si="13"/>
        <v>7.97</v>
      </c>
      <c r="P227" s="15">
        <f>IF(G227,INDEX(monster!$J$2:$J$606,MATCH(skill!C227,monster!$A$2:$A$606,0)),Q227)</f>
        <v>1.2</v>
      </c>
      <c r="Q227" s="70"/>
      <c r="R227" s="33">
        <v>150</v>
      </c>
    </row>
    <row r="228" spans="1:18" s="38" customFormat="1" x14ac:dyDescent="0.15">
      <c r="A228" s="32">
        <v>10227</v>
      </c>
      <c r="B228" s="32" t="s">
        <v>733</v>
      </c>
      <c r="C228" s="32">
        <v>1146</v>
      </c>
      <c r="D228" s="32">
        <v>6</v>
      </c>
      <c r="E228" s="15">
        <f>INDEX(monster!$H$2:$H$617,MATCH(skill!C228,monster!$A$2:$A$617,0))</f>
        <v>165.25</v>
      </c>
      <c r="F228" s="15">
        <f>INDEX(monster!$I$2:$I$617,MATCH(C228,monster!$A$2:$A$617,0))</f>
        <v>4.96</v>
      </c>
      <c r="G228" s="15" t="b">
        <f t="shared" si="14"/>
        <v>1</v>
      </c>
      <c r="H228" s="32">
        <v>1</v>
      </c>
      <c r="I228" s="15">
        <f>IF(H228&gt;0,HLOOKUP(R228/100,数值规划表!$B$37:$AA$39,3),1)</f>
        <v>1.7999999999999998</v>
      </c>
      <c r="J228" s="31" t="s">
        <v>1625</v>
      </c>
      <c r="K228" s="15">
        <f>INDEX(数值规划表!$B$15:$B$18,MATCH(J228,攻击范围,0))</f>
        <v>1</v>
      </c>
      <c r="L228" s="30">
        <v>1</v>
      </c>
      <c r="M228" s="41">
        <v>0</v>
      </c>
      <c r="N228" s="15">
        <f t="shared" si="12"/>
        <v>297</v>
      </c>
      <c r="O228" s="15">
        <f t="shared" si="13"/>
        <v>8.93</v>
      </c>
      <c r="P228" s="15">
        <f>IF(G228,INDEX(monster!$J$2:$J$606,MATCH(skill!C228,monster!$A$2:$A$606,0)),Q228)</f>
        <v>1.2</v>
      </c>
      <c r="Q228" s="70"/>
      <c r="R228" s="33">
        <v>150</v>
      </c>
    </row>
    <row r="229" spans="1:18" s="38" customFormat="1" x14ac:dyDescent="0.15">
      <c r="A229" s="32">
        <v>10228</v>
      </c>
      <c r="B229" s="32" t="s">
        <v>734</v>
      </c>
      <c r="C229" s="32">
        <v>1147</v>
      </c>
      <c r="D229" s="32">
        <v>7</v>
      </c>
      <c r="E229" s="15">
        <f>INDEX(monster!$H$2:$H$617,MATCH(skill!C229,monster!$A$2:$A$617,0))</f>
        <v>185.08</v>
      </c>
      <c r="F229" s="15">
        <f>INDEX(monster!$I$2:$I$617,MATCH(C229,monster!$A$2:$A$617,0))</f>
        <v>5.55</v>
      </c>
      <c r="G229" s="15" t="b">
        <f t="shared" si="14"/>
        <v>1</v>
      </c>
      <c r="H229" s="32">
        <v>1</v>
      </c>
      <c r="I229" s="15">
        <f>IF(H229&gt;0,HLOOKUP(R229/100,数值规划表!$B$37:$AA$39,3),1)</f>
        <v>1.7999999999999998</v>
      </c>
      <c r="J229" s="31" t="s">
        <v>1625</v>
      </c>
      <c r="K229" s="15">
        <f>INDEX(数值规划表!$B$15:$B$18,MATCH(J229,攻击范围,0))</f>
        <v>1</v>
      </c>
      <c r="L229" s="30">
        <v>1</v>
      </c>
      <c r="M229" s="41">
        <v>0</v>
      </c>
      <c r="N229" s="15">
        <f t="shared" si="12"/>
        <v>333</v>
      </c>
      <c r="O229" s="15">
        <f t="shared" si="13"/>
        <v>9.99</v>
      </c>
      <c r="P229" s="15">
        <f>IF(G229,INDEX(monster!$J$2:$J$606,MATCH(skill!C229,monster!$A$2:$A$606,0)),Q229)</f>
        <v>1.2</v>
      </c>
      <c r="Q229" s="70"/>
      <c r="R229" s="33">
        <v>150</v>
      </c>
    </row>
    <row r="230" spans="1:18" s="38" customFormat="1" x14ac:dyDescent="0.15">
      <c r="A230" s="32">
        <v>10229</v>
      </c>
      <c r="B230" s="32" t="s">
        <v>735</v>
      </c>
      <c r="C230" s="32">
        <v>1148</v>
      </c>
      <c r="D230" s="32">
        <v>8</v>
      </c>
      <c r="E230" s="15">
        <f>INDEX(monster!$H$2:$H$617,MATCH(skill!C230,monster!$A$2:$A$617,0))</f>
        <v>207.29</v>
      </c>
      <c r="F230" s="15">
        <f>INDEX(monster!$I$2:$I$617,MATCH(C230,monster!$A$2:$A$617,0))</f>
        <v>6.22</v>
      </c>
      <c r="G230" s="15" t="b">
        <f t="shared" si="14"/>
        <v>1</v>
      </c>
      <c r="H230" s="32">
        <v>1</v>
      </c>
      <c r="I230" s="15">
        <f>IF(H230&gt;0,HLOOKUP(R230/100,数值规划表!$B$37:$AA$39,3),1)</f>
        <v>1.7999999999999998</v>
      </c>
      <c r="J230" s="31" t="s">
        <v>1625</v>
      </c>
      <c r="K230" s="15">
        <f>INDEX(数值规划表!$B$15:$B$18,MATCH(J230,攻击范围,0))</f>
        <v>1</v>
      </c>
      <c r="L230" s="30">
        <v>1</v>
      </c>
      <c r="M230" s="41">
        <v>0</v>
      </c>
      <c r="N230" s="15">
        <f t="shared" si="12"/>
        <v>373</v>
      </c>
      <c r="O230" s="15">
        <f t="shared" si="13"/>
        <v>11.2</v>
      </c>
      <c r="P230" s="15">
        <f>IF(G230,INDEX(monster!$J$2:$J$606,MATCH(skill!C230,monster!$A$2:$A$606,0)),Q230)</f>
        <v>1.2</v>
      </c>
      <c r="Q230" s="70"/>
      <c r="R230" s="33">
        <v>150</v>
      </c>
    </row>
    <row r="231" spans="1:18" s="38" customFormat="1" x14ac:dyDescent="0.15">
      <c r="A231" s="32">
        <v>10230</v>
      </c>
      <c r="B231" s="32" t="s">
        <v>736</v>
      </c>
      <c r="C231" s="32">
        <v>1149</v>
      </c>
      <c r="D231" s="32">
        <v>9</v>
      </c>
      <c r="E231" s="15">
        <f>INDEX(monster!$H$2:$H$617,MATCH(skill!C231,monster!$A$2:$A$617,0))</f>
        <v>232.16</v>
      </c>
      <c r="F231" s="15">
        <f>INDEX(monster!$I$2:$I$617,MATCH(C231,monster!$A$2:$A$617,0))</f>
        <v>6.96</v>
      </c>
      <c r="G231" s="15" t="b">
        <f t="shared" si="14"/>
        <v>1</v>
      </c>
      <c r="H231" s="32">
        <v>1</v>
      </c>
      <c r="I231" s="15">
        <f>IF(H231&gt;0,HLOOKUP(R231/100,数值规划表!$B$37:$AA$39,3),1)</f>
        <v>1.7999999999999998</v>
      </c>
      <c r="J231" s="31" t="s">
        <v>1625</v>
      </c>
      <c r="K231" s="15">
        <f>INDEX(数值规划表!$B$15:$B$18,MATCH(J231,攻击范围,0))</f>
        <v>1</v>
      </c>
      <c r="L231" s="30">
        <v>1</v>
      </c>
      <c r="M231" s="41">
        <v>0</v>
      </c>
      <c r="N231" s="15">
        <f t="shared" si="12"/>
        <v>418</v>
      </c>
      <c r="O231" s="15">
        <f t="shared" si="13"/>
        <v>12.53</v>
      </c>
      <c r="P231" s="15">
        <f>IF(G231,INDEX(monster!$J$2:$J$606,MATCH(skill!C231,monster!$A$2:$A$606,0)),Q231)</f>
        <v>1.2</v>
      </c>
      <c r="Q231" s="70"/>
      <c r="R231" s="33">
        <v>150</v>
      </c>
    </row>
    <row r="232" spans="1:18" s="38" customFormat="1" x14ac:dyDescent="0.15">
      <c r="A232" s="32">
        <v>10231</v>
      </c>
      <c r="B232" s="32" t="s">
        <v>737</v>
      </c>
      <c r="C232" s="32">
        <v>1150</v>
      </c>
      <c r="D232" s="32">
        <v>10</v>
      </c>
      <c r="E232" s="15">
        <f>INDEX(monster!$H$2:$H$617,MATCH(skill!C232,monster!$A$2:$A$617,0))</f>
        <v>260.02</v>
      </c>
      <c r="F232" s="15">
        <f>INDEX(monster!$I$2:$I$617,MATCH(C232,monster!$A$2:$A$617,0))</f>
        <v>7.8</v>
      </c>
      <c r="G232" s="15" t="b">
        <f t="shared" si="14"/>
        <v>1</v>
      </c>
      <c r="H232" s="32">
        <v>1</v>
      </c>
      <c r="I232" s="15">
        <f>IF(H232&gt;0,HLOOKUP(R232/100,数值规划表!$B$37:$AA$39,3),1)</f>
        <v>1.7999999999999998</v>
      </c>
      <c r="J232" s="31" t="s">
        <v>1625</v>
      </c>
      <c r="K232" s="15">
        <f>INDEX(数值规划表!$B$15:$B$18,MATCH(J232,攻击范围,0))</f>
        <v>1</v>
      </c>
      <c r="L232" s="30">
        <v>2</v>
      </c>
      <c r="M232" s="41">
        <v>0</v>
      </c>
      <c r="N232" s="15">
        <f t="shared" si="12"/>
        <v>936</v>
      </c>
      <c r="O232" s="15">
        <f t="shared" si="13"/>
        <v>28.08</v>
      </c>
      <c r="P232" s="15">
        <f>IF(G232,INDEX(monster!$J$2:$J$606,MATCH(skill!C232,monster!$A$2:$A$606,0)),Q232)</f>
        <v>1.2</v>
      </c>
      <c r="Q232" s="70"/>
      <c r="R232" s="33">
        <v>150</v>
      </c>
    </row>
    <row r="233" spans="1:18" s="38" customFormat="1" x14ac:dyDescent="0.15">
      <c r="A233" s="32">
        <v>10232</v>
      </c>
      <c r="B233" s="32" t="s">
        <v>2834</v>
      </c>
      <c r="C233" s="32">
        <v>1140</v>
      </c>
      <c r="D233" s="32">
        <v>0</v>
      </c>
      <c r="E233" s="15">
        <f>INDEX(monster!$H$2:$H$617,MATCH(skill!C233,monster!$A$2:$A$617,0))</f>
        <v>83.72</v>
      </c>
      <c r="F233" s="15">
        <f>INDEX(monster!$I$2:$I$617,MATCH(C233,monster!$A$2:$A$617,0))</f>
        <v>2.5099999999999998</v>
      </c>
      <c r="G233" s="15" t="b">
        <f t="shared" si="14"/>
        <v>0</v>
      </c>
      <c r="H233" s="32">
        <v>0</v>
      </c>
      <c r="I233" s="15">
        <f>IF(H233&gt;0,HLOOKUP(R233/100,数值规划表!$B$37:$AA$39,3),1)</f>
        <v>1</v>
      </c>
      <c r="J233" s="31" t="s">
        <v>1672</v>
      </c>
      <c r="K233" s="15">
        <f>INDEX(数值规划表!$B$15:$B$18,MATCH(J233,攻击范围,0))</f>
        <v>0</v>
      </c>
      <c r="L233" s="41">
        <v>1</v>
      </c>
      <c r="M233" s="41">
        <v>0</v>
      </c>
      <c r="N233" s="15">
        <f t="shared" si="12"/>
        <v>0</v>
      </c>
      <c r="O233" s="15">
        <f t="shared" si="13"/>
        <v>0</v>
      </c>
      <c r="P233" s="15">
        <f>IF(G233,INDEX(monster!$J$2:$J$606,MATCH(skill!C233,monster!$A$2:$A$606,0)),Q233)</f>
        <v>0</v>
      </c>
      <c r="Q233" s="70"/>
      <c r="R233" s="33">
        <v>1500</v>
      </c>
    </row>
    <row r="234" spans="1:18" s="38" customFormat="1" x14ac:dyDescent="0.15">
      <c r="A234" s="32">
        <v>10233</v>
      </c>
      <c r="B234" s="32" t="s">
        <v>2835</v>
      </c>
      <c r="C234" s="32">
        <v>1141</v>
      </c>
      <c r="D234" s="32">
        <v>1</v>
      </c>
      <c r="E234" s="15">
        <f>INDEX(monster!$H$2:$H$617,MATCH(skill!C234,monster!$A$2:$A$617,0))</f>
        <v>93.77</v>
      </c>
      <c r="F234" s="15">
        <f>INDEX(monster!$I$2:$I$617,MATCH(C234,monster!$A$2:$A$617,0))</f>
        <v>2.81</v>
      </c>
      <c r="G234" s="15" t="b">
        <f t="shared" si="14"/>
        <v>0</v>
      </c>
      <c r="H234" s="32">
        <v>0</v>
      </c>
      <c r="I234" s="15">
        <f>IF(H234&gt;0,HLOOKUP(R234/100,数值规划表!$B$37:$AA$39,3),1)</f>
        <v>1</v>
      </c>
      <c r="J234" s="31" t="s">
        <v>1672</v>
      </c>
      <c r="K234" s="15">
        <f>INDEX(数值规划表!$B$15:$B$18,MATCH(J234,攻击范围,0))</f>
        <v>0</v>
      </c>
      <c r="L234" s="41">
        <v>1</v>
      </c>
      <c r="M234" s="41">
        <v>0</v>
      </c>
      <c r="N234" s="15">
        <f t="shared" si="12"/>
        <v>0</v>
      </c>
      <c r="O234" s="15">
        <f t="shared" si="13"/>
        <v>0</v>
      </c>
      <c r="P234" s="15">
        <f>IF(G234,INDEX(monster!$J$2:$J$606,MATCH(skill!C234,monster!$A$2:$A$606,0)),Q234)</f>
        <v>0</v>
      </c>
      <c r="Q234" s="70"/>
      <c r="R234" s="33">
        <v>1500</v>
      </c>
    </row>
    <row r="235" spans="1:18" s="38" customFormat="1" x14ac:dyDescent="0.15">
      <c r="A235" s="32">
        <v>10234</v>
      </c>
      <c r="B235" s="32" t="s">
        <v>738</v>
      </c>
      <c r="C235" s="32">
        <v>1142</v>
      </c>
      <c r="D235" s="32">
        <v>2</v>
      </c>
      <c r="E235" s="15">
        <f>INDEX(monster!$H$2:$H$617,MATCH(skill!C235,monster!$A$2:$A$617,0))</f>
        <v>105.02</v>
      </c>
      <c r="F235" s="15">
        <f>INDEX(monster!$I$2:$I$617,MATCH(C235,monster!$A$2:$A$617,0))</f>
        <v>3.15</v>
      </c>
      <c r="G235" s="15" t="b">
        <f t="shared" si="14"/>
        <v>0</v>
      </c>
      <c r="H235" s="32">
        <v>0</v>
      </c>
      <c r="I235" s="15">
        <f>IF(H235&gt;0,HLOOKUP(R235/100,数值规划表!$B$37:$AA$39,3),1)</f>
        <v>1</v>
      </c>
      <c r="J235" s="31" t="s">
        <v>1672</v>
      </c>
      <c r="K235" s="15">
        <f>INDEX(数值规划表!$B$15:$B$18,MATCH(J235,攻击范围,0))</f>
        <v>0</v>
      </c>
      <c r="L235" s="41">
        <v>1</v>
      </c>
      <c r="M235" s="41">
        <v>0</v>
      </c>
      <c r="N235" s="15">
        <f t="shared" si="12"/>
        <v>0</v>
      </c>
      <c r="O235" s="15">
        <f t="shared" si="13"/>
        <v>0</v>
      </c>
      <c r="P235" s="15">
        <f>IF(G235,INDEX(monster!$J$2:$J$606,MATCH(skill!C235,monster!$A$2:$A$606,0)),Q235)</f>
        <v>0</v>
      </c>
      <c r="Q235" s="70"/>
      <c r="R235" s="33">
        <v>1500</v>
      </c>
    </row>
    <row r="236" spans="1:18" s="38" customFormat="1" x14ac:dyDescent="0.15">
      <c r="A236" s="32">
        <v>10235</v>
      </c>
      <c r="B236" s="32" t="s">
        <v>739</v>
      </c>
      <c r="C236" s="32">
        <v>1143</v>
      </c>
      <c r="D236" s="32">
        <v>3</v>
      </c>
      <c r="E236" s="15">
        <f>INDEX(monster!$H$2:$H$617,MATCH(skill!C236,monster!$A$2:$A$617,0))</f>
        <v>117.62</v>
      </c>
      <c r="F236" s="15">
        <f>INDEX(monster!$I$2:$I$617,MATCH(C236,monster!$A$2:$A$617,0))</f>
        <v>3.53</v>
      </c>
      <c r="G236" s="15" t="b">
        <f t="shared" si="14"/>
        <v>0</v>
      </c>
      <c r="H236" s="32">
        <v>0</v>
      </c>
      <c r="I236" s="15">
        <f>IF(H236&gt;0,HLOOKUP(R236/100,数值规划表!$B$37:$AA$39,3),1)</f>
        <v>1</v>
      </c>
      <c r="J236" s="31" t="s">
        <v>1672</v>
      </c>
      <c r="K236" s="15">
        <f>INDEX(数值规划表!$B$15:$B$18,MATCH(J236,攻击范围,0))</f>
        <v>0</v>
      </c>
      <c r="L236" s="41">
        <v>1</v>
      </c>
      <c r="M236" s="41">
        <v>0</v>
      </c>
      <c r="N236" s="15">
        <f t="shared" si="12"/>
        <v>0</v>
      </c>
      <c r="O236" s="15">
        <f t="shared" si="13"/>
        <v>0</v>
      </c>
      <c r="P236" s="15">
        <f>IF(G236,INDEX(monster!$J$2:$J$606,MATCH(skill!C236,monster!$A$2:$A$606,0)),Q236)</f>
        <v>0</v>
      </c>
      <c r="Q236" s="70"/>
      <c r="R236" s="33">
        <v>1500</v>
      </c>
    </row>
    <row r="237" spans="1:18" s="38" customFormat="1" x14ac:dyDescent="0.15">
      <c r="A237" s="32">
        <v>10236</v>
      </c>
      <c r="B237" s="32" t="s">
        <v>740</v>
      </c>
      <c r="C237" s="32">
        <v>1144</v>
      </c>
      <c r="D237" s="32">
        <v>4</v>
      </c>
      <c r="E237" s="15">
        <f>INDEX(monster!$H$2:$H$617,MATCH(skill!C237,monster!$A$2:$A$617,0))</f>
        <v>131.74</v>
      </c>
      <c r="F237" s="15">
        <f>INDEX(monster!$I$2:$I$617,MATCH(C237,monster!$A$2:$A$617,0))</f>
        <v>3.95</v>
      </c>
      <c r="G237" s="15" t="b">
        <f t="shared" si="14"/>
        <v>0</v>
      </c>
      <c r="H237" s="32">
        <v>0</v>
      </c>
      <c r="I237" s="15">
        <f>IF(H237&gt;0,HLOOKUP(R237/100,数值规划表!$B$37:$AA$39,3),1)</f>
        <v>1</v>
      </c>
      <c r="J237" s="31" t="s">
        <v>1672</v>
      </c>
      <c r="K237" s="15">
        <f>INDEX(数值规划表!$B$15:$B$18,MATCH(J237,攻击范围,0))</f>
        <v>0</v>
      </c>
      <c r="L237" s="41">
        <v>1</v>
      </c>
      <c r="M237" s="41">
        <v>0</v>
      </c>
      <c r="N237" s="15">
        <f t="shared" si="12"/>
        <v>0</v>
      </c>
      <c r="O237" s="15">
        <f t="shared" si="13"/>
        <v>0</v>
      </c>
      <c r="P237" s="15">
        <f>IF(G237,INDEX(monster!$J$2:$J$606,MATCH(skill!C237,monster!$A$2:$A$606,0)),Q237)</f>
        <v>0</v>
      </c>
      <c r="Q237" s="70"/>
      <c r="R237" s="33">
        <v>1500</v>
      </c>
    </row>
    <row r="238" spans="1:18" s="38" customFormat="1" x14ac:dyDescent="0.15">
      <c r="A238" s="32">
        <v>10237</v>
      </c>
      <c r="B238" s="32" t="s">
        <v>741</v>
      </c>
      <c r="C238" s="32">
        <v>1145</v>
      </c>
      <c r="D238" s="32">
        <v>5</v>
      </c>
      <c r="E238" s="15">
        <f>INDEX(monster!$H$2:$H$617,MATCH(skill!C238,monster!$A$2:$A$617,0))</f>
        <v>147.54</v>
      </c>
      <c r="F238" s="15">
        <f>INDEX(monster!$I$2:$I$617,MATCH(C238,monster!$A$2:$A$617,0))</f>
        <v>4.43</v>
      </c>
      <c r="G238" s="15" t="b">
        <f t="shared" si="14"/>
        <v>0</v>
      </c>
      <c r="H238" s="32">
        <v>0</v>
      </c>
      <c r="I238" s="15">
        <f>IF(H238&gt;0,HLOOKUP(R238/100,数值规划表!$B$37:$AA$39,3),1)</f>
        <v>1</v>
      </c>
      <c r="J238" s="31" t="s">
        <v>1672</v>
      </c>
      <c r="K238" s="15">
        <f>INDEX(数值规划表!$B$15:$B$18,MATCH(J238,攻击范围,0))</f>
        <v>0</v>
      </c>
      <c r="L238" s="41">
        <v>1</v>
      </c>
      <c r="M238" s="41">
        <v>0</v>
      </c>
      <c r="N238" s="15">
        <f t="shared" si="12"/>
        <v>0</v>
      </c>
      <c r="O238" s="15">
        <f t="shared" si="13"/>
        <v>0</v>
      </c>
      <c r="P238" s="15">
        <f>IF(G238,INDEX(monster!$J$2:$J$606,MATCH(skill!C238,monster!$A$2:$A$606,0)),Q238)</f>
        <v>0</v>
      </c>
      <c r="Q238" s="70"/>
      <c r="R238" s="33">
        <v>1500</v>
      </c>
    </row>
    <row r="239" spans="1:18" s="38" customFormat="1" x14ac:dyDescent="0.15">
      <c r="A239" s="32">
        <v>10238</v>
      </c>
      <c r="B239" s="32" t="s">
        <v>742</v>
      </c>
      <c r="C239" s="32">
        <v>1146</v>
      </c>
      <c r="D239" s="32">
        <v>6</v>
      </c>
      <c r="E239" s="15">
        <f>INDEX(monster!$H$2:$H$617,MATCH(skill!C239,monster!$A$2:$A$617,0))</f>
        <v>165.25</v>
      </c>
      <c r="F239" s="15">
        <f>INDEX(monster!$I$2:$I$617,MATCH(C239,monster!$A$2:$A$617,0))</f>
        <v>4.96</v>
      </c>
      <c r="G239" s="15" t="b">
        <f t="shared" si="14"/>
        <v>0</v>
      </c>
      <c r="H239" s="32">
        <v>0</v>
      </c>
      <c r="I239" s="15">
        <f>IF(H239&gt;0,HLOOKUP(R239/100,数值规划表!$B$37:$AA$39,3),1)</f>
        <v>1</v>
      </c>
      <c r="J239" s="31" t="s">
        <v>1672</v>
      </c>
      <c r="K239" s="15">
        <f>INDEX(数值规划表!$B$15:$B$18,MATCH(J239,攻击范围,0))</f>
        <v>0</v>
      </c>
      <c r="L239" s="41">
        <v>1</v>
      </c>
      <c r="M239" s="41">
        <v>0</v>
      </c>
      <c r="N239" s="15">
        <f t="shared" si="12"/>
        <v>0</v>
      </c>
      <c r="O239" s="15">
        <f t="shared" si="13"/>
        <v>0</v>
      </c>
      <c r="P239" s="15">
        <f>IF(G239,INDEX(monster!$J$2:$J$606,MATCH(skill!C239,monster!$A$2:$A$606,0)),Q239)</f>
        <v>0</v>
      </c>
      <c r="Q239" s="70"/>
      <c r="R239" s="33">
        <v>1500</v>
      </c>
    </row>
    <row r="240" spans="1:18" s="38" customFormat="1" x14ac:dyDescent="0.15">
      <c r="A240" s="32">
        <v>10239</v>
      </c>
      <c r="B240" s="32" t="s">
        <v>743</v>
      </c>
      <c r="C240" s="32">
        <v>1147</v>
      </c>
      <c r="D240" s="32">
        <v>7</v>
      </c>
      <c r="E240" s="15">
        <f>INDEX(monster!$H$2:$H$617,MATCH(skill!C240,monster!$A$2:$A$617,0))</f>
        <v>185.08</v>
      </c>
      <c r="F240" s="15">
        <f>INDEX(monster!$I$2:$I$617,MATCH(C240,monster!$A$2:$A$617,0))</f>
        <v>5.55</v>
      </c>
      <c r="G240" s="15" t="b">
        <f t="shared" si="14"/>
        <v>0</v>
      </c>
      <c r="H240" s="32">
        <v>0</v>
      </c>
      <c r="I240" s="15">
        <f>IF(H240&gt;0,HLOOKUP(R240/100,数值规划表!$B$37:$AA$39,3),1)</f>
        <v>1</v>
      </c>
      <c r="J240" s="31" t="s">
        <v>1672</v>
      </c>
      <c r="K240" s="15">
        <f>INDEX(数值规划表!$B$15:$B$18,MATCH(J240,攻击范围,0))</f>
        <v>0</v>
      </c>
      <c r="L240" s="41">
        <v>1</v>
      </c>
      <c r="M240" s="41">
        <v>0</v>
      </c>
      <c r="N240" s="15">
        <f t="shared" si="12"/>
        <v>0</v>
      </c>
      <c r="O240" s="15">
        <f t="shared" si="13"/>
        <v>0</v>
      </c>
      <c r="P240" s="15">
        <f>IF(G240,INDEX(monster!$J$2:$J$606,MATCH(skill!C240,monster!$A$2:$A$606,0)),Q240)</f>
        <v>0</v>
      </c>
      <c r="Q240" s="70"/>
      <c r="R240" s="33">
        <v>1500</v>
      </c>
    </row>
    <row r="241" spans="1:18" s="38" customFormat="1" x14ac:dyDescent="0.15">
      <c r="A241" s="32">
        <v>10240</v>
      </c>
      <c r="B241" s="32" t="s">
        <v>744</v>
      </c>
      <c r="C241" s="32">
        <v>1148</v>
      </c>
      <c r="D241" s="32">
        <v>8</v>
      </c>
      <c r="E241" s="15">
        <f>INDEX(monster!$H$2:$H$617,MATCH(skill!C241,monster!$A$2:$A$617,0))</f>
        <v>207.29</v>
      </c>
      <c r="F241" s="15">
        <f>INDEX(monster!$I$2:$I$617,MATCH(C241,monster!$A$2:$A$617,0))</f>
        <v>6.22</v>
      </c>
      <c r="G241" s="15" t="b">
        <f t="shared" si="14"/>
        <v>0</v>
      </c>
      <c r="H241" s="32">
        <v>0</v>
      </c>
      <c r="I241" s="15">
        <f>IF(H241&gt;0,HLOOKUP(R241/100,数值规划表!$B$37:$AA$39,3),1)</f>
        <v>1</v>
      </c>
      <c r="J241" s="31" t="s">
        <v>1672</v>
      </c>
      <c r="K241" s="15">
        <f>INDEX(数值规划表!$B$15:$B$18,MATCH(J241,攻击范围,0))</f>
        <v>0</v>
      </c>
      <c r="L241" s="41">
        <v>1</v>
      </c>
      <c r="M241" s="41">
        <v>0</v>
      </c>
      <c r="N241" s="15">
        <f t="shared" si="12"/>
        <v>0</v>
      </c>
      <c r="O241" s="15">
        <f t="shared" si="13"/>
        <v>0</v>
      </c>
      <c r="P241" s="15">
        <f>IF(G241,INDEX(monster!$J$2:$J$606,MATCH(skill!C241,monster!$A$2:$A$606,0)),Q241)</f>
        <v>0</v>
      </c>
      <c r="Q241" s="70"/>
      <c r="R241" s="33">
        <v>1500</v>
      </c>
    </row>
    <row r="242" spans="1:18" s="38" customFormat="1" x14ac:dyDescent="0.15">
      <c r="A242" s="32">
        <v>10241</v>
      </c>
      <c r="B242" s="32" t="s">
        <v>745</v>
      </c>
      <c r="C242" s="32">
        <v>1149</v>
      </c>
      <c r="D242" s="32">
        <v>9</v>
      </c>
      <c r="E242" s="15">
        <f>INDEX(monster!$H$2:$H$617,MATCH(skill!C242,monster!$A$2:$A$617,0))</f>
        <v>232.16</v>
      </c>
      <c r="F242" s="15">
        <f>INDEX(monster!$I$2:$I$617,MATCH(C242,monster!$A$2:$A$617,0))</f>
        <v>6.96</v>
      </c>
      <c r="G242" s="15" t="b">
        <f t="shared" si="14"/>
        <v>0</v>
      </c>
      <c r="H242" s="32">
        <v>0</v>
      </c>
      <c r="I242" s="15">
        <f>IF(H242&gt;0,HLOOKUP(R242/100,数值规划表!$B$37:$AA$39,3),1)</f>
        <v>1</v>
      </c>
      <c r="J242" s="31" t="s">
        <v>1672</v>
      </c>
      <c r="K242" s="15">
        <f>INDEX(数值规划表!$B$15:$B$18,MATCH(J242,攻击范围,0))</f>
        <v>0</v>
      </c>
      <c r="L242" s="41">
        <v>1</v>
      </c>
      <c r="M242" s="41">
        <v>0</v>
      </c>
      <c r="N242" s="15">
        <f t="shared" si="12"/>
        <v>0</v>
      </c>
      <c r="O242" s="15">
        <f t="shared" si="13"/>
        <v>0</v>
      </c>
      <c r="P242" s="15">
        <f>IF(G242,INDEX(monster!$J$2:$J$606,MATCH(skill!C242,monster!$A$2:$A$606,0)),Q242)</f>
        <v>0</v>
      </c>
      <c r="Q242" s="70"/>
      <c r="R242" s="33">
        <v>1500</v>
      </c>
    </row>
    <row r="243" spans="1:18" s="38" customFormat="1" x14ac:dyDescent="0.15">
      <c r="A243" s="32">
        <v>10242</v>
      </c>
      <c r="B243" s="32" t="s">
        <v>746</v>
      </c>
      <c r="C243" s="32">
        <v>1150</v>
      </c>
      <c r="D243" s="32">
        <v>10</v>
      </c>
      <c r="E243" s="15">
        <f>INDEX(monster!$H$2:$H$617,MATCH(skill!C243,monster!$A$2:$A$617,0))</f>
        <v>260.02</v>
      </c>
      <c r="F243" s="15">
        <f>INDEX(monster!$I$2:$I$617,MATCH(C243,monster!$A$2:$A$617,0))</f>
        <v>7.8</v>
      </c>
      <c r="G243" s="15" t="b">
        <f t="shared" si="14"/>
        <v>0</v>
      </c>
      <c r="H243" s="32">
        <v>0</v>
      </c>
      <c r="I243" s="15">
        <f>IF(H243&gt;0,HLOOKUP(R243/100,数值规划表!$B$37:$AA$39,3),1)</f>
        <v>1</v>
      </c>
      <c r="J243" s="31" t="s">
        <v>1672</v>
      </c>
      <c r="K243" s="15">
        <f>INDEX(数值规划表!$B$15:$B$18,MATCH(J243,攻击范围,0))</f>
        <v>0</v>
      </c>
      <c r="L243" s="41">
        <v>1</v>
      </c>
      <c r="M243" s="41">
        <v>0</v>
      </c>
      <c r="N243" s="15">
        <f t="shared" si="12"/>
        <v>0</v>
      </c>
      <c r="O243" s="15">
        <f t="shared" si="13"/>
        <v>0</v>
      </c>
      <c r="P243" s="15">
        <f>IF(G243,INDEX(monster!$J$2:$J$606,MATCH(skill!C243,monster!$A$2:$A$606,0)),Q243)</f>
        <v>0</v>
      </c>
      <c r="Q243" s="70"/>
      <c r="R243" s="33">
        <v>1500</v>
      </c>
    </row>
    <row r="244" spans="1:18" s="38" customFormat="1" x14ac:dyDescent="0.15">
      <c r="A244" s="32">
        <v>10243</v>
      </c>
      <c r="B244" s="32" t="s">
        <v>2836</v>
      </c>
      <c r="C244" s="32">
        <v>1151</v>
      </c>
      <c r="D244" s="32">
        <v>0</v>
      </c>
      <c r="E244" s="15">
        <f>INDEX(monster!$H$2:$H$617,MATCH(skill!C244,monster!$A$2:$A$617,0))</f>
        <v>71.180000000000007</v>
      </c>
      <c r="F244" s="15">
        <f>INDEX(monster!$I$2:$I$617,MATCH(C244,monster!$A$2:$A$617,0))</f>
        <v>2.14</v>
      </c>
      <c r="G244" s="15" t="b">
        <f t="shared" si="14"/>
        <v>1</v>
      </c>
      <c r="H244" s="32">
        <v>1</v>
      </c>
      <c r="I244" s="15">
        <f>IF(H244&gt;0,HLOOKUP(R244/100,数值规划表!$B$37:$AA$39,3),1)</f>
        <v>1.6239999999999999</v>
      </c>
      <c r="J244" s="31" t="s">
        <v>1625</v>
      </c>
      <c r="K244" s="15">
        <f>INDEX(数值规划表!$B$15:$B$18,MATCH(J244,攻击范围,0))</f>
        <v>1</v>
      </c>
      <c r="L244" s="70">
        <v>0.9</v>
      </c>
      <c r="M244" s="41">
        <v>0</v>
      </c>
      <c r="N244" s="15">
        <f t="shared" si="12"/>
        <v>104</v>
      </c>
      <c r="O244" s="15">
        <f t="shared" si="13"/>
        <v>3.13</v>
      </c>
      <c r="P244" s="15">
        <f>IF(G244,INDEX(monster!$J$2:$J$606,MATCH(skill!C244,monster!$A$2:$A$606,0)),Q244)</f>
        <v>4</v>
      </c>
      <c r="Q244" s="70"/>
      <c r="R244" s="52">
        <v>140</v>
      </c>
    </row>
    <row r="245" spans="1:18" s="38" customFormat="1" x14ac:dyDescent="0.15">
      <c r="A245" s="32">
        <v>10244</v>
      </c>
      <c r="B245" s="32" t="s">
        <v>2837</v>
      </c>
      <c r="C245" s="32">
        <v>1152</v>
      </c>
      <c r="D245" s="32">
        <v>1</v>
      </c>
      <c r="E245" s="15">
        <f>INDEX(monster!$H$2:$H$617,MATCH(skill!C245,monster!$A$2:$A$617,0))</f>
        <v>79.72</v>
      </c>
      <c r="F245" s="15">
        <f>INDEX(monster!$I$2:$I$617,MATCH(C245,monster!$A$2:$A$617,0))</f>
        <v>2.39</v>
      </c>
      <c r="G245" s="15" t="b">
        <f t="shared" si="14"/>
        <v>1</v>
      </c>
      <c r="H245" s="32">
        <v>1</v>
      </c>
      <c r="I245" s="15">
        <f>IF(H245&gt;0,HLOOKUP(R245/100,数值规划表!$B$37:$AA$39,3),1)</f>
        <v>1.6239999999999999</v>
      </c>
      <c r="J245" s="31" t="s">
        <v>1625</v>
      </c>
      <c r="K245" s="15">
        <f>INDEX(数值规划表!$B$15:$B$18,MATCH(J245,攻击范围,0))</f>
        <v>1</v>
      </c>
      <c r="L245" s="70">
        <v>0.9</v>
      </c>
      <c r="M245" s="41">
        <v>0</v>
      </c>
      <c r="N245" s="15">
        <f t="shared" si="12"/>
        <v>117</v>
      </c>
      <c r="O245" s="15">
        <f t="shared" si="13"/>
        <v>3.49</v>
      </c>
      <c r="P245" s="15">
        <f>IF(G245,INDEX(monster!$J$2:$J$606,MATCH(skill!C245,monster!$A$2:$A$606,0)),Q245)</f>
        <v>4</v>
      </c>
      <c r="Q245" s="70"/>
      <c r="R245" s="52">
        <v>140</v>
      </c>
    </row>
    <row r="246" spans="1:18" s="38" customFormat="1" x14ac:dyDescent="0.15">
      <c r="A246" s="32">
        <v>10245</v>
      </c>
      <c r="B246" s="32" t="s">
        <v>2838</v>
      </c>
      <c r="C246" s="32">
        <v>1153</v>
      </c>
      <c r="D246" s="32">
        <v>2</v>
      </c>
      <c r="E246" s="15">
        <f>INDEX(monster!$H$2:$H$617,MATCH(skill!C246,monster!$A$2:$A$617,0))</f>
        <v>89.29</v>
      </c>
      <c r="F246" s="15">
        <f>INDEX(monster!$I$2:$I$617,MATCH(C246,monster!$A$2:$A$617,0))</f>
        <v>2.68</v>
      </c>
      <c r="G246" s="15" t="b">
        <f t="shared" si="14"/>
        <v>1</v>
      </c>
      <c r="H246" s="32">
        <v>1</v>
      </c>
      <c r="I246" s="15">
        <f>IF(H246&gt;0,HLOOKUP(R246/100,数值规划表!$B$37:$AA$39,3),1)</f>
        <v>1.6239999999999999</v>
      </c>
      <c r="J246" s="31" t="s">
        <v>1625</v>
      </c>
      <c r="K246" s="15">
        <f>INDEX(数值规划表!$B$15:$B$18,MATCH(J246,攻击范围,0))</f>
        <v>1</v>
      </c>
      <c r="L246" s="70">
        <v>0.9</v>
      </c>
      <c r="M246" s="41">
        <v>0</v>
      </c>
      <c r="N246" s="15">
        <f t="shared" si="12"/>
        <v>131</v>
      </c>
      <c r="O246" s="15">
        <f t="shared" si="13"/>
        <v>3.92</v>
      </c>
      <c r="P246" s="15">
        <f>IF(G246,INDEX(monster!$J$2:$J$606,MATCH(skill!C246,monster!$A$2:$A$606,0)),Q246)</f>
        <v>4</v>
      </c>
      <c r="Q246" s="70"/>
      <c r="R246" s="52">
        <v>140</v>
      </c>
    </row>
    <row r="247" spans="1:18" s="38" customFormat="1" x14ac:dyDescent="0.15">
      <c r="A247" s="32">
        <v>10246</v>
      </c>
      <c r="B247" s="32" t="s">
        <v>2839</v>
      </c>
      <c r="C247" s="32">
        <v>1154</v>
      </c>
      <c r="D247" s="32">
        <v>3</v>
      </c>
      <c r="E247" s="15">
        <f>INDEX(monster!$H$2:$H$617,MATCH(skill!C247,monster!$A$2:$A$617,0))</f>
        <v>100</v>
      </c>
      <c r="F247" s="15">
        <f>INDEX(monster!$I$2:$I$617,MATCH(C247,monster!$A$2:$A$617,0))</f>
        <v>3</v>
      </c>
      <c r="G247" s="15" t="b">
        <f t="shared" si="14"/>
        <v>1</v>
      </c>
      <c r="H247" s="32">
        <v>1</v>
      </c>
      <c r="I247" s="15">
        <f>IF(H247&gt;0,HLOOKUP(R247/100,数值规划表!$B$37:$AA$39,3),1)</f>
        <v>1.6239999999999999</v>
      </c>
      <c r="J247" s="31" t="s">
        <v>1625</v>
      </c>
      <c r="K247" s="15">
        <f>INDEX(数值规划表!$B$15:$B$18,MATCH(J247,攻击范围,0))</f>
        <v>1</v>
      </c>
      <c r="L247" s="70">
        <v>0.9</v>
      </c>
      <c r="M247" s="41">
        <v>0</v>
      </c>
      <c r="N247" s="15">
        <f t="shared" si="12"/>
        <v>146</v>
      </c>
      <c r="O247" s="15">
        <f t="shared" si="13"/>
        <v>4.38</v>
      </c>
      <c r="P247" s="15">
        <f>IF(G247,INDEX(monster!$J$2:$J$606,MATCH(skill!C247,monster!$A$2:$A$606,0)),Q247)</f>
        <v>4</v>
      </c>
      <c r="Q247" s="70"/>
      <c r="R247" s="52">
        <v>140</v>
      </c>
    </row>
    <row r="248" spans="1:18" s="38" customFormat="1" x14ac:dyDescent="0.15">
      <c r="A248" s="32">
        <v>10247</v>
      </c>
      <c r="B248" s="32" t="s">
        <v>2840</v>
      </c>
      <c r="C248" s="32">
        <v>1155</v>
      </c>
      <c r="D248" s="32">
        <v>4</v>
      </c>
      <c r="E248" s="15">
        <f>INDEX(monster!$H$2:$H$617,MATCH(skill!C248,monster!$A$2:$A$617,0))</f>
        <v>112</v>
      </c>
      <c r="F248" s="15">
        <f>INDEX(monster!$I$2:$I$617,MATCH(C248,monster!$A$2:$A$617,0))</f>
        <v>3.36</v>
      </c>
      <c r="G248" s="15" t="b">
        <f t="shared" si="14"/>
        <v>1</v>
      </c>
      <c r="H248" s="32">
        <v>1</v>
      </c>
      <c r="I248" s="15">
        <f>IF(H248&gt;0,HLOOKUP(R248/100,数值规划表!$B$37:$AA$39,3),1)</f>
        <v>1.6239999999999999</v>
      </c>
      <c r="J248" s="31" t="s">
        <v>1625</v>
      </c>
      <c r="K248" s="15">
        <f>INDEX(数值规划表!$B$15:$B$18,MATCH(J248,攻击范围,0))</f>
        <v>1</v>
      </c>
      <c r="L248" s="70">
        <v>0.9</v>
      </c>
      <c r="M248" s="41">
        <v>0</v>
      </c>
      <c r="N248" s="15">
        <f t="shared" si="12"/>
        <v>164</v>
      </c>
      <c r="O248" s="15">
        <f t="shared" si="13"/>
        <v>4.91</v>
      </c>
      <c r="P248" s="15">
        <f>IF(G248,INDEX(monster!$J$2:$J$606,MATCH(skill!C248,monster!$A$2:$A$606,0)),Q248)</f>
        <v>4</v>
      </c>
      <c r="Q248" s="70"/>
      <c r="R248" s="52">
        <v>140</v>
      </c>
    </row>
    <row r="249" spans="1:18" s="38" customFormat="1" x14ac:dyDescent="0.15">
      <c r="A249" s="32">
        <v>10248</v>
      </c>
      <c r="B249" s="32" t="s">
        <v>2841</v>
      </c>
      <c r="C249" s="32">
        <v>1156</v>
      </c>
      <c r="D249" s="32">
        <v>5</v>
      </c>
      <c r="E249" s="15">
        <f>INDEX(monster!$H$2:$H$617,MATCH(skill!C249,monster!$A$2:$A$617,0))</f>
        <v>125.44</v>
      </c>
      <c r="F249" s="15">
        <f>INDEX(monster!$I$2:$I$617,MATCH(C249,monster!$A$2:$A$617,0))</f>
        <v>3.76</v>
      </c>
      <c r="G249" s="15" t="b">
        <f t="shared" si="14"/>
        <v>1</v>
      </c>
      <c r="H249" s="32">
        <v>1</v>
      </c>
      <c r="I249" s="15">
        <f>IF(H249&gt;0,HLOOKUP(R249/100,数值规划表!$B$37:$AA$39,3),1)</f>
        <v>1.6239999999999999</v>
      </c>
      <c r="J249" s="31" t="s">
        <v>1625</v>
      </c>
      <c r="K249" s="15">
        <f>INDEX(数值规划表!$B$15:$B$18,MATCH(J249,攻击范围,0))</f>
        <v>1</v>
      </c>
      <c r="L249" s="70">
        <v>0.9</v>
      </c>
      <c r="M249" s="41">
        <v>0</v>
      </c>
      <c r="N249" s="15">
        <f t="shared" si="12"/>
        <v>183</v>
      </c>
      <c r="O249" s="15">
        <f t="shared" si="13"/>
        <v>5.5</v>
      </c>
      <c r="P249" s="15">
        <f>IF(G249,INDEX(monster!$J$2:$J$606,MATCH(skill!C249,monster!$A$2:$A$606,0)),Q249)</f>
        <v>4</v>
      </c>
      <c r="Q249" s="70"/>
      <c r="R249" s="52">
        <v>140</v>
      </c>
    </row>
    <row r="250" spans="1:18" s="38" customFormat="1" x14ac:dyDescent="0.15">
      <c r="A250" s="32">
        <v>10249</v>
      </c>
      <c r="B250" s="32" t="s">
        <v>2842</v>
      </c>
      <c r="C250" s="32">
        <v>1157</v>
      </c>
      <c r="D250" s="32">
        <v>6</v>
      </c>
      <c r="E250" s="15">
        <f>INDEX(monster!$H$2:$H$617,MATCH(skill!C250,monster!$A$2:$A$617,0))</f>
        <v>140.5</v>
      </c>
      <c r="F250" s="15">
        <f>INDEX(monster!$I$2:$I$617,MATCH(C250,monster!$A$2:$A$617,0))</f>
        <v>4.21</v>
      </c>
      <c r="G250" s="15" t="b">
        <f t="shared" si="14"/>
        <v>1</v>
      </c>
      <c r="H250" s="32">
        <v>1</v>
      </c>
      <c r="I250" s="15">
        <f>IF(H250&gt;0,HLOOKUP(R250/100,数值规划表!$B$37:$AA$39,3),1)</f>
        <v>1.6239999999999999</v>
      </c>
      <c r="J250" s="31" t="s">
        <v>1625</v>
      </c>
      <c r="K250" s="15">
        <f>INDEX(数值规划表!$B$15:$B$18,MATCH(J250,攻击范围,0))</f>
        <v>1</v>
      </c>
      <c r="L250" s="70">
        <v>0.9</v>
      </c>
      <c r="M250" s="41">
        <v>0</v>
      </c>
      <c r="N250" s="15">
        <f t="shared" si="12"/>
        <v>205</v>
      </c>
      <c r="O250" s="15">
        <f t="shared" si="13"/>
        <v>6.15</v>
      </c>
      <c r="P250" s="15">
        <f>IF(G250,INDEX(monster!$J$2:$J$606,MATCH(skill!C250,monster!$A$2:$A$606,0)),Q250)</f>
        <v>4</v>
      </c>
      <c r="Q250" s="70"/>
      <c r="R250" s="52">
        <v>140</v>
      </c>
    </row>
    <row r="251" spans="1:18" s="38" customFormat="1" x14ac:dyDescent="0.15">
      <c r="A251" s="32">
        <v>10250</v>
      </c>
      <c r="B251" s="32" t="s">
        <v>2843</v>
      </c>
      <c r="C251" s="32">
        <v>1158</v>
      </c>
      <c r="D251" s="32">
        <v>7</v>
      </c>
      <c r="E251" s="15">
        <f>INDEX(monster!$H$2:$H$617,MATCH(skill!C251,monster!$A$2:$A$617,0))</f>
        <v>157.36000000000001</v>
      </c>
      <c r="F251" s="15">
        <f>INDEX(monster!$I$2:$I$617,MATCH(C251,monster!$A$2:$A$617,0))</f>
        <v>4.72</v>
      </c>
      <c r="G251" s="15" t="b">
        <f t="shared" si="14"/>
        <v>1</v>
      </c>
      <c r="H251" s="32">
        <v>1</v>
      </c>
      <c r="I251" s="15">
        <f>IF(H251&gt;0,HLOOKUP(R251/100,数值规划表!$B$37:$AA$39,3),1)</f>
        <v>1.6239999999999999</v>
      </c>
      <c r="J251" s="31" t="s">
        <v>1625</v>
      </c>
      <c r="K251" s="15">
        <f>INDEX(数值规划表!$B$15:$B$18,MATCH(J251,攻击范围,0))</f>
        <v>1</v>
      </c>
      <c r="L251" s="70">
        <v>0.9</v>
      </c>
      <c r="M251" s="41">
        <v>0</v>
      </c>
      <c r="N251" s="15">
        <f t="shared" si="12"/>
        <v>230</v>
      </c>
      <c r="O251" s="15">
        <f t="shared" si="13"/>
        <v>6.9</v>
      </c>
      <c r="P251" s="15">
        <f>IF(G251,INDEX(monster!$J$2:$J$606,MATCH(skill!C251,monster!$A$2:$A$606,0)),Q251)</f>
        <v>4</v>
      </c>
      <c r="Q251" s="70"/>
      <c r="R251" s="52">
        <v>140</v>
      </c>
    </row>
    <row r="252" spans="1:18" s="38" customFormat="1" x14ac:dyDescent="0.15">
      <c r="A252" s="32">
        <v>10251</v>
      </c>
      <c r="B252" s="32" t="s">
        <v>2844</v>
      </c>
      <c r="C252" s="32">
        <v>1159</v>
      </c>
      <c r="D252" s="32">
        <v>8</v>
      </c>
      <c r="E252" s="15">
        <f>INDEX(monster!$H$2:$H$617,MATCH(skill!C252,monster!$A$2:$A$617,0))</f>
        <v>176.24</v>
      </c>
      <c r="F252" s="15">
        <f>INDEX(monster!$I$2:$I$617,MATCH(C252,monster!$A$2:$A$617,0))</f>
        <v>5.29</v>
      </c>
      <c r="G252" s="15" t="b">
        <f t="shared" si="14"/>
        <v>1</v>
      </c>
      <c r="H252" s="32">
        <v>1</v>
      </c>
      <c r="I252" s="15">
        <f>IF(H252&gt;0,HLOOKUP(R252/100,数值规划表!$B$37:$AA$39,3),1)</f>
        <v>1.6239999999999999</v>
      </c>
      <c r="J252" s="31" t="s">
        <v>1625</v>
      </c>
      <c r="K252" s="15">
        <f>INDEX(数值规划表!$B$15:$B$18,MATCH(J252,攻击范围,0))</f>
        <v>1</v>
      </c>
      <c r="L252" s="70">
        <v>0.9</v>
      </c>
      <c r="M252" s="41">
        <v>0</v>
      </c>
      <c r="N252" s="15">
        <f t="shared" si="12"/>
        <v>258</v>
      </c>
      <c r="O252" s="15">
        <f t="shared" si="13"/>
        <v>7.73</v>
      </c>
      <c r="P252" s="15">
        <f>IF(G252,INDEX(monster!$J$2:$J$606,MATCH(skill!C252,monster!$A$2:$A$606,0)),Q252)</f>
        <v>4</v>
      </c>
      <c r="Q252" s="70"/>
      <c r="R252" s="52">
        <v>140</v>
      </c>
    </row>
    <row r="253" spans="1:18" s="38" customFormat="1" x14ac:dyDescent="0.15">
      <c r="A253" s="32">
        <v>10252</v>
      </c>
      <c r="B253" s="32" t="s">
        <v>2845</v>
      </c>
      <c r="C253" s="32">
        <v>1160</v>
      </c>
      <c r="D253" s="32">
        <v>9</v>
      </c>
      <c r="E253" s="15">
        <f>INDEX(monster!$H$2:$H$617,MATCH(skill!C253,monster!$A$2:$A$617,0))</f>
        <v>197.39</v>
      </c>
      <c r="F253" s="15">
        <f>INDEX(monster!$I$2:$I$617,MATCH(C253,monster!$A$2:$A$617,0))</f>
        <v>5.92</v>
      </c>
      <c r="G253" s="15" t="b">
        <f t="shared" si="14"/>
        <v>1</v>
      </c>
      <c r="H253" s="32">
        <v>1</v>
      </c>
      <c r="I253" s="15">
        <f>IF(H253&gt;0,HLOOKUP(R253/100,数值规划表!$B$37:$AA$39,3),1)</f>
        <v>1.6239999999999999</v>
      </c>
      <c r="J253" s="31" t="s">
        <v>1625</v>
      </c>
      <c r="K253" s="15">
        <f>INDEX(数值规划表!$B$15:$B$18,MATCH(J253,攻击范围,0))</f>
        <v>1</v>
      </c>
      <c r="L253" s="70">
        <v>0.9</v>
      </c>
      <c r="M253" s="41">
        <v>0</v>
      </c>
      <c r="N253" s="15">
        <f t="shared" si="12"/>
        <v>289</v>
      </c>
      <c r="O253" s="15">
        <f t="shared" si="13"/>
        <v>8.65</v>
      </c>
      <c r="P253" s="15">
        <f>IF(G253,INDEX(monster!$J$2:$J$606,MATCH(skill!C253,monster!$A$2:$A$606,0)),Q253)</f>
        <v>4</v>
      </c>
      <c r="Q253" s="70"/>
      <c r="R253" s="52">
        <v>140</v>
      </c>
    </row>
    <row r="254" spans="1:18" s="38" customFormat="1" x14ac:dyDescent="0.15">
      <c r="A254" s="32">
        <v>10253</v>
      </c>
      <c r="B254" s="32" t="s">
        <v>2846</v>
      </c>
      <c r="C254" s="32">
        <v>1161</v>
      </c>
      <c r="D254" s="32">
        <v>10</v>
      </c>
      <c r="E254" s="15">
        <f>INDEX(monster!$H$2:$H$617,MATCH(skill!C254,monster!$A$2:$A$617,0))</f>
        <v>221.07</v>
      </c>
      <c r="F254" s="15">
        <f>INDEX(monster!$I$2:$I$617,MATCH(C254,monster!$A$2:$A$617,0))</f>
        <v>6.63</v>
      </c>
      <c r="G254" s="15" t="b">
        <f t="shared" si="14"/>
        <v>1</v>
      </c>
      <c r="H254" s="32">
        <v>1</v>
      </c>
      <c r="I254" s="15">
        <f>IF(H254&gt;0,HLOOKUP(R254/100,数值规划表!$B$37:$AA$39,3),1)</f>
        <v>1.6239999999999999</v>
      </c>
      <c r="J254" s="31" t="s">
        <v>1625</v>
      </c>
      <c r="K254" s="15">
        <f>INDEX(数值规划表!$B$15:$B$18,MATCH(J254,攻击范围,0))</f>
        <v>1</v>
      </c>
      <c r="L254" s="70">
        <v>0.9</v>
      </c>
      <c r="M254" s="41">
        <v>0</v>
      </c>
      <c r="N254" s="15">
        <f t="shared" si="12"/>
        <v>323</v>
      </c>
      <c r="O254" s="15">
        <f t="shared" si="13"/>
        <v>9.69</v>
      </c>
      <c r="P254" s="15">
        <f>IF(G254,INDEX(monster!$J$2:$J$606,MATCH(skill!C254,monster!$A$2:$A$606,0)),Q254)</f>
        <v>4</v>
      </c>
      <c r="Q254" s="70"/>
      <c r="R254" s="52">
        <v>140</v>
      </c>
    </row>
    <row r="255" spans="1:18" s="38" customFormat="1" x14ac:dyDescent="0.15">
      <c r="A255" s="32">
        <v>10254</v>
      </c>
      <c r="B255" s="32" t="s">
        <v>2847</v>
      </c>
      <c r="C255" s="32">
        <v>1162</v>
      </c>
      <c r="D255" s="32">
        <v>0</v>
      </c>
      <c r="E255" s="15">
        <f>INDEX(monster!$H$2:$H$617,MATCH(skill!C255,monster!$A$2:$A$617,0))</f>
        <v>65.16</v>
      </c>
      <c r="F255" s="15">
        <f>INDEX(monster!$I$2:$I$617,MATCH(C255,monster!$A$2:$A$617,0))</f>
        <v>1.95</v>
      </c>
      <c r="G255" s="15" t="b">
        <f t="shared" si="14"/>
        <v>1</v>
      </c>
      <c r="H255" s="32">
        <v>1</v>
      </c>
      <c r="I255" s="15">
        <f>IF(H255&gt;0,HLOOKUP(R255/100,数值规划表!$B$37:$AA$39,3),1)</f>
        <v>2.8</v>
      </c>
      <c r="J255" s="31" t="s">
        <v>1627</v>
      </c>
      <c r="K255" s="15">
        <f>INDEX(数值规划表!$B$15:$B$18,MATCH(J255,攻击范围,0))</f>
        <v>0.7</v>
      </c>
      <c r="L255" s="30">
        <v>0.95</v>
      </c>
      <c r="M255" s="41">
        <v>0</v>
      </c>
      <c r="N255" s="15">
        <f t="shared" si="12"/>
        <v>121</v>
      </c>
      <c r="O255" s="15">
        <f t="shared" si="13"/>
        <v>3.63</v>
      </c>
      <c r="P255" s="15">
        <f>IF(G255,INDEX(monster!$J$2:$J$606,MATCH(skill!C255,monster!$A$2:$A$606,0)),Q255)</f>
        <v>6</v>
      </c>
      <c r="Q255" s="70"/>
      <c r="R255" s="33">
        <v>200</v>
      </c>
    </row>
    <row r="256" spans="1:18" s="38" customFormat="1" x14ac:dyDescent="0.15">
      <c r="A256" s="32">
        <v>10255</v>
      </c>
      <c r="B256" s="32" t="s">
        <v>2848</v>
      </c>
      <c r="C256" s="32">
        <v>1163</v>
      </c>
      <c r="D256" s="32">
        <v>1</v>
      </c>
      <c r="E256" s="15">
        <f>INDEX(monster!$H$2:$H$617,MATCH(skill!C256,monster!$A$2:$A$617,0))</f>
        <v>72.98</v>
      </c>
      <c r="F256" s="15">
        <f>INDEX(monster!$I$2:$I$617,MATCH(C256,monster!$A$2:$A$617,0))</f>
        <v>2.19</v>
      </c>
      <c r="G256" s="15" t="b">
        <f t="shared" si="14"/>
        <v>1</v>
      </c>
      <c r="H256" s="32">
        <v>1</v>
      </c>
      <c r="I256" s="15">
        <f>IF(H256&gt;0,HLOOKUP(R256/100,数值规划表!$B$37:$AA$39,3),1)</f>
        <v>2.8</v>
      </c>
      <c r="J256" s="31" t="s">
        <v>1627</v>
      </c>
      <c r="K256" s="15">
        <f>INDEX(数值规划表!$B$15:$B$18,MATCH(J256,攻击范围,0))</f>
        <v>0.7</v>
      </c>
      <c r="L256" s="70">
        <v>0.95</v>
      </c>
      <c r="M256" s="41">
        <v>0</v>
      </c>
      <c r="N256" s="15">
        <f t="shared" si="12"/>
        <v>136</v>
      </c>
      <c r="O256" s="15">
        <f t="shared" si="13"/>
        <v>4.08</v>
      </c>
      <c r="P256" s="15">
        <f>IF(G256,INDEX(monster!$J$2:$J$606,MATCH(skill!C256,monster!$A$2:$A$606,0)),Q256)</f>
        <v>6</v>
      </c>
      <c r="Q256" s="70"/>
      <c r="R256" s="33">
        <v>200</v>
      </c>
    </row>
    <row r="257" spans="1:18" s="38" customFormat="1" x14ac:dyDescent="0.15">
      <c r="A257" s="32">
        <v>10256</v>
      </c>
      <c r="B257" s="32" t="s">
        <v>747</v>
      </c>
      <c r="C257" s="32">
        <v>1164</v>
      </c>
      <c r="D257" s="32">
        <v>2</v>
      </c>
      <c r="E257" s="15">
        <f>INDEX(monster!$H$2:$H$617,MATCH(skill!C257,monster!$A$2:$A$617,0))</f>
        <v>81.739999999999995</v>
      </c>
      <c r="F257" s="15">
        <f>INDEX(monster!$I$2:$I$617,MATCH(C257,monster!$A$2:$A$617,0))</f>
        <v>2.4500000000000002</v>
      </c>
      <c r="G257" s="15" t="b">
        <f t="shared" si="14"/>
        <v>1</v>
      </c>
      <c r="H257" s="32">
        <v>1</v>
      </c>
      <c r="I257" s="15">
        <f>IF(H257&gt;0,HLOOKUP(R257/100,数值规划表!$B$37:$AA$39,3),1)</f>
        <v>2.8</v>
      </c>
      <c r="J257" s="31" t="s">
        <v>1627</v>
      </c>
      <c r="K257" s="15">
        <f>INDEX(数值规划表!$B$15:$B$18,MATCH(J257,攻击范围,0))</f>
        <v>0.7</v>
      </c>
      <c r="L257" s="70">
        <v>0.95</v>
      </c>
      <c r="M257" s="41">
        <v>0</v>
      </c>
      <c r="N257" s="15">
        <f t="shared" si="12"/>
        <v>152</v>
      </c>
      <c r="O257" s="15">
        <f t="shared" si="13"/>
        <v>4.5599999999999996</v>
      </c>
      <c r="P257" s="15">
        <f>IF(G257,INDEX(monster!$J$2:$J$606,MATCH(skill!C257,monster!$A$2:$A$606,0)),Q257)</f>
        <v>6</v>
      </c>
      <c r="Q257" s="70"/>
      <c r="R257" s="33">
        <v>200</v>
      </c>
    </row>
    <row r="258" spans="1:18" s="38" customFormat="1" x14ac:dyDescent="0.15">
      <c r="A258" s="32">
        <v>10257</v>
      </c>
      <c r="B258" s="32" t="s">
        <v>748</v>
      </c>
      <c r="C258" s="32">
        <v>1165</v>
      </c>
      <c r="D258" s="32">
        <v>3</v>
      </c>
      <c r="E258" s="15">
        <f>INDEX(monster!$H$2:$H$617,MATCH(skill!C258,monster!$A$2:$A$617,0))</f>
        <v>91.55</v>
      </c>
      <c r="F258" s="15">
        <f>INDEX(monster!$I$2:$I$617,MATCH(C258,monster!$A$2:$A$617,0))</f>
        <v>2.75</v>
      </c>
      <c r="G258" s="15" t="b">
        <f t="shared" ref="G258:G310" si="15">ISNUMBER(FIND("普攻",B258))</f>
        <v>1</v>
      </c>
      <c r="H258" s="32">
        <v>1</v>
      </c>
      <c r="I258" s="15">
        <f>IF(H258&gt;0,HLOOKUP(R258/100,数值规划表!$B$37:$AA$39,3),1)</f>
        <v>2.8</v>
      </c>
      <c r="J258" s="31" t="s">
        <v>1627</v>
      </c>
      <c r="K258" s="15">
        <f>INDEX(数值规划表!$B$15:$B$18,MATCH(J258,攻击范围,0))</f>
        <v>0.7</v>
      </c>
      <c r="L258" s="70">
        <v>0.95</v>
      </c>
      <c r="M258" s="41">
        <v>0</v>
      </c>
      <c r="N258" s="15">
        <f t="shared" ref="N258:N321" si="16">ROUND(E258*I258*K258*L258,0)</f>
        <v>170</v>
      </c>
      <c r="O258" s="15">
        <f t="shared" ref="O258:O321" si="17">ROUND(F258*I258*K258*L258,2)</f>
        <v>5.12</v>
      </c>
      <c r="P258" s="15">
        <f>IF(G258,INDEX(monster!$J$2:$J$606,MATCH(skill!C258,monster!$A$2:$A$606,0)),Q258)</f>
        <v>6</v>
      </c>
      <c r="Q258" s="70"/>
      <c r="R258" s="33">
        <v>200</v>
      </c>
    </row>
    <row r="259" spans="1:18" s="38" customFormat="1" x14ac:dyDescent="0.15">
      <c r="A259" s="32">
        <v>10258</v>
      </c>
      <c r="B259" s="32" t="s">
        <v>749</v>
      </c>
      <c r="C259" s="32">
        <v>1166</v>
      </c>
      <c r="D259" s="32">
        <v>4</v>
      </c>
      <c r="E259" s="15">
        <f>INDEX(monster!$H$2:$H$617,MATCH(skill!C259,monster!$A$2:$A$617,0))</f>
        <v>102.53</v>
      </c>
      <c r="F259" s="15">
        <f>INDEX(monster!$I$2:$I$617,MATCH(C259,monster!$A$2:$A$617,0))</f>
        <v>3.08</v>
      </c>
      <c r="G259" s="15" t="b">
        <f t="shared" si="15"/>
        <v>1</v>
      </c>
      <c r="H259" s="32">
        <v>1</v>
      </c>
      <c r="I259" s="15">
        <f>IF(H259&gt;0,HLOOKUP(R259/100,数值规划表!$B$37:$AA$39,3),1)</f>
        <v>2.8</v>
      </c>
      <c r="J259" s="31" t="s">
        <v>1627</v>
      </c>
      <c r="K259" s="15">
        <f>INDEX(数值规划表!$B$15:$B$18,MATCH(J259,攻击范围,0))</f>
        <v>0.7</v>
      </c>
      <c r="L259" s="70">
        <v>0.95</v>
      </c>
      <c r="M259" s="41">
        <v>0</v>
      </c>
      <c r="N259" s="15">
        <f t="shared" si="16"/>
        <v>191</v>
      </c>
      <c r="O259" s="15">
        <f t="shared" si="17"/>
        <v>5.73</v>
      </c>
      <c r="P259" s="15">
        <f>IF(G259,INDEX(monster!$J$2:$J$606,MATCH(skill!C259,monster!$A$2:$A$606,0)),Q259)</f>
        <v>6</v>
      </c>
      <c r="Q259" s="70"/>
      <c r="R259" s="33">
        <v>200</v>
      </c>
    </row>
    <row r="260" spans="1:18" s="38" customFormat="1" x14ac:dyDescent="0.15">
      <c r="A260" s="32">
        <v>10259</v>
      </c>
      <c r="B260" s="32" t="s">
        <v>750</v>
      </c>
      <c r="C260" s="32">
        <v>1167</v>
      </c>
      <c r="D260" s="32">
        <v>5</v>
      </c>
      <c r="E260" s="15">
        <f>INDEX(monster!$H$2:$H$617,MATCH(skill!C260,monster!$A$2:$A$617,0))</f>
        <v>114.83</v>
      </c>
      <c r="F260" s="15">
        <f>INDEX(monster!$I$2:$I$617,MATCH(C260,monster!$A$2:$A$617,0))</f>
        <v>3.45</v>
      </c>
      <c r="G260" s="15" t="b">
        <f t="shared" si="15"/>
        <v>1</v>
      </c>
      <c r="H260" s="32">
        <v>1</v>
      </c>
      <c r="I260" s="15">
        <f>IF(H260&gt;0,HLOOKUP(R260/100,数值规划表!$B$37:$AA$39,3),1)</f>
        <v>2.8</v>
      </c>
      <c r="J260" s="31" t="s">
        <v>1627</v>
      </c>
      <c r="K260" s="15">
        <f>INDEX(数值规划表!$B$15:$B$18,MATCH(J260,攻击范围,0))</f>
        <v>0.7</v>
      </c>
      <c r="L260" s="70">
        <v>0.95</v>
      </c>
      <c r="M260" s="41">
        <v>0</v>
      </c>
      <c r="N260" s="15">
        <f t="shared" si="16"/>
        <v>214</v>
      </c>
      <c r="O260" s="15">
        <f t="shared" si="17"/>
        <v>6.42</v>
      </c>
      <c r="P260" s="15">
        <f>IF(G260,INDEX(monster!$J$2:$J$606,MATCH(skill!C260,monster!$A$2:$A$606,0)),Q260)</f>
        <v>6</v>
      </c>
      <c r="Q260" s="70"/>
      <c r="R260" s="33">
        <v>200</v>
      </c>
    </row>
    <row r="261" spans="1:18" s="38" customFormat="1" x14ac:dyDescent="0.15">
      <c r="A261" s="32">
        <v>10260</v>
      </c>
      <c r="B261" s="32" t="s">
        <v>751</v>
      </c>
      <c r="C261" s="32">
        <v>1168</v>
      </c>
      <c r="D261" s="32">
        <v>6</v>
      </c>
      <c r="E261" s="15">
        <f>INDEX(monster!$H$2:$H$617,MATCH(skill!C261,monster!$A$2:$A$617,0))</f>
        <v>128.61000000000001</v>
      </c>
      <c r="F261" s="15">
        <f>INDEX(monster!$I$2:$I$617,MATCH(C261,monster!$A$2:$A$617,0))</f>
        <v>3.86</v>
      </c>
      <c r="G261" s="15" t="b">
        <f t="shared" si="15"/>
        <v>1</v>
      </c>
      <c r="H261" s="32">
        <v>1</v>
      </c>
      <c r="I261" s="15">
        <f>IF(H261&gt;0,HLOOKUP(R261/100,数值规划表!$B$37:$AA$39,3),1)</f>
        <v>2.8</v>
      </c>
      <c r="J261" s="31" t="s">
        <v>1627</v>
      </c>
      <c r="K261" s="15">
        <f>INDEX(数值规划表!$B$15:$B$18,MATCH(J261,攻击范围,0))</f>
        <v>0.7</v>
      </c>
      <c r="L261" s="70">
        <v>0.95</v>
      </c>
      <c r="M261" s="41">
        <v>0</v>
      </c>
      <c r="N261" s="15">
        <f t="shared" si="16"/>
        <v>239</v>
      </c>
      <c r="O261" s="15">
        <f t="shared" si="17"/>
        <v>7.19</v>
      </c>
      <c r="P261" s="15">
        <f>IF(G261,INDEX(monster!$J$2:$J$606,MATCH(skill!C261,monster!$A$2:$A$606,0)),Q261)</f>
        <v>6</v>
      </c>
      <c r="Q261" s="70"/>
      <c r="R261" s="33">
        <v>200</v>
      </c>
    </row>
    <row r="262" spans="1:18" s="38" customFormat="1" x14ac:dyDescent="0.15">
      <c r="A262" s="32">
        <v>10261</v>
      </c>
      <c r="B262" s="32" t="s">
        <v>752</v>
      </c>
      <c r="C262" s="32">
        <v>1169</v>
      </c>
      <c r="D262" s="32">
        <v>7</v>
      </c>
      <c r="E262" s="15">
        <f>INDEX(monster!$H$2:$H$617,MATCH(skill!C262,monster!$A$2:$A$617,0))</f>
        <v>144.05000000000001</v>
      </c>
      <c r="F262" s="15">
        <f>INDEX(monster!$I$2:$I$617,MATCH(C262,monster!$A$2:$A$617,0))</f>
        <v>4.32</v>
      </c>
      <c r="G262" s="15" t="b">
        <f t="shared" si="15"/>
        <v>1</v>
      </c>
      <c r="H262" s="32">
        <v>1</v>
      </c>
      <c r="I262" s="15">
        <f>IF(H262&gt;0,HLOOKUP(R262/100,数值规划表!$B$37:$AA$39,3),1)</f>
        <v>2.8</v>
      </c>
      <c r="J262" s="31" t="s">
        <v>1627</v>
      </c>
      <c r="K262" s="15">
        <f>INDEX(数值规划表!$B$15:$B$18,MATCH(J262,攻击范围,0))</f>
        <v>0.7</v>
      </c>
      <c r="L262" s="70">
        <v>0.95</v>
      </c>
      <c r="M262" s="41">
        <v>0</v>
      </c>
      <c r="N262" s="15">
        <f t="shared" si="16"/>
        <v>268</v>
      </c>
      <c r="O262" s="15">
        <f t="shared" si="17"/>
        <v>8.0399999999999991</v>
      </c>
      <c r="P262" s="15">
        <f>IF(G262,INDEX(monster!$J$2:$J$606,MATCH(skill!C262,monster!$A$2:$A$606,0)),Q262)</f>
        <v>6</v>
      </c>
      <c r="Q262" s="70"/>
      <c r="R262" s="33">
        <v>200</v>
      </c>
    </row>
    <row r="263" spans="1:18" s="38" customFormat="1" x14ac:dyDescent="0.15">
      <c r="A263" s="32">
        <v>10262</v>
      </c>
      <c r="B263" s="32" t="s">
        <v>753</v>
      </c>
      <c r="C263" s="32">
        <v>1170</v>
      </c>
      <c r="D263" s="32">
        <v>8</v>
      </c>
      <c r="E263" s="15">
        <f>INDEX(monster!$H$2:$H$617,MATCH(skill!C263,monster!$A$2:$A$617,0))</f>
        <v>161.33000000000001</v>
      </c>
      <c r="F263" s="15">
        <f>INDEX(monster!$I$2:$I$617,MATCH(C263,monster!$A$2:$A$617,0))</f>
        <v>4.84</v>
      </c>
      <c r="G263" s="15" t="b">
        <f t="shared" si="15"/>
        <v>1</v>
      </c>
      <c r="H263" s="32">
        <v>1</v>
      </c>
      <c r="I263" s="15">
        <f>IF(H263&gt;0,HLOOKUP(R263/100,数值规划表!$B$37:$AA$39,3),1)</f>
        <v>2.8</v>
      </c>
      <c r="J263" s="31" t="s">
        <v>1627</v>
      </c>
      <c r="K263" s="15">
        <f>INDEX(数值规划表!$B$15:$B$18,MATCH(J263,攻击范围,0))</f>
        <v>0.7</v>
      </c>
      <c r="L263" s="70">
        <v>0.95</v>
      </c>
      <c r="M263" s="41">
        <v>0</v>
      </c>
      <c r="N263" s="15">
        <f t="shared" si="16"/>
        <v>300</v>
      </c>
      <c r="O263" s="15">
        <f t="shared" si="17"/>
        <v>9.01</v>
      </c>
      <c r="P263" s="15">
        <f>IF(G263,INDEX(monster!$J$2:$J$606,MATCH(skill!C263,monster!$A$2:$A$606,0)),Q263)</f>
        <v>6</v>
      </c>
      <c r="Q263" s="70"/>
      <c r="R263" s="33">
        <v>200</v>
      </c>
    </row>
    <row r="264" spans="1:18" s="38" customFormat="1" x14ac:dyDescent="0.15">
      <c r="A264" s="32">
        <v>10263</v>
      </c>
      <c r="B264" s="32" t="s">
        <v>754</v>
      </c>
      <c r="C264" s="32">
        <v>1171</v>
      </c>
      <c r="D264" s="32">
        <v>9</v>
      </c>
      <c r="E264" s="15">
        <f>INDEX(monster!$H$2:$H$617,MATCH(skill!C264,monster!$A$2:$A$617,0))</f>
        <v>180.69</v>
      </c>
      <c r="F264" s="15">
        <f>INDEX(monster!$I$2:$I$617,MATCH(C264,monster!$A$2:$A$617,0))</f>
        <v>5.42</v>
      </c>
      <c r="G264" s="15" t="b">
        <f t="shared" si="15"/>
        <v>1</v>
      </c>
      <c r="H264" s="32">
        <v>1</v>
      </c>
      <c r="I264" s="15">
        <f>IF(H264&gt;0,HLOOKUP(R264/100,数值规划表!$B$37:$AA$39,3),1)</f>
        <v>2.8</v>
      </c>
      <c r="J264" s="31" t="s">
        <v>1627</v>
      </c>
      <c r="K264" s="15">
        <f>INDEX(数值规划表!$B$15:$B$18,MATCH(J264,攻击范围,0))</f>
        <v>0.7</v>
      </c>
      <c r="L264" s="70">
        <v>0.95</v>
      </c>
      <c r="M264" s="41">
        <v>0</v>
      </c>
      <c r="N264" s="15">
        <f t="shared" si="16"/>
        <v>336</v>
      </c>
      <c r="O264" s="15">
        <f t="shared" si="17"/>
        <v>10.09</v>
      </c>
      <c r="P264" s="15">
        <f>IF(G264,INDEX(monster!$J$2:$J$606,MATCH(skill!C264,monster!$A$2:$A$606,0)),Q264)</f>
        <v>6</v>
      </c>
      <c r="Q264" s="70"/>
      <c r="R264" s="33">
        <v>200</v>
      </c>
    </row>
    <row r="265" spans="1:18" s="38" customFormat="1" x14ac:dyDescent="0.15">
      <c r="A265" s="32">
        <v>10264</v>
      </c>
      <c r="B265" s="32" t="s">
        <v>755</v>
      </c>
      <c r="C265" s="32">
        <v>1172</v>
      </c>
      <c r="D265" s="32">
        <v>10</v>
      </c>
      <c r="E265" s="15">
        <f>INDEX(monster!$H$2:$H$617,MATCH(skill!C265,monster!$A$2:$A$617,0))</f>
        <v>202.38</v>
      </c>
      <c r="F265" s="15">
        <f>INDEX(monster!$I$2:$I$617,MATCH(C265,monster!$A$2:$A$617,0))</f>
        <v>6.07</v>
      </c>
      <c r="G265" s="15" t="b">
        <f t="shared" si="15"/>
        <v>1</v>
      </c>
      <c r="H265" s="32">
        <v>1</v>
      </c>
      <c r="I265" s="15">
        <f>IF(H265&gt;0,HLOOKUP(R265/100,数值规划表!$B$37:$AA$39,3),1)</f>
        <v>2.8</v>
      </c>
      <c r="J265" s="31" t="s">
        <v>1627</v>
      </c>
      <c r="K265" s="15">
        <f>INDEX(数值规划表!$B$15:$B$18,MATCH(J265,攻击范围,0))</f>
        <v>0.7</v>
      </c>
      <c r="L265" s="70">
        <v>0.95</v>
      </c>
      <c r="M265" s="41">
        <v>0</v>
      </c>
      <c r="N265" s="15">
        <f t="shared" si="16"/>
        <v>377</v>
      </c>
      <c r="O265" s="15">
        <f t="shared" si="17"/>
        <v>11.3</v>
      </c>
      <c r="P265" s="15">
        <f>IF(G265,INDEX(monster!$J$2:$J$606,MATCH(skill!C265,monster!$A$2:$A$606,0)),Q265)</f>
        <v>6</v>
      </c>
      <c r="Q265" s="70"/>
      <c r="R265" s="33">
        <v>200</v>
      </c>
    </row>
    <row r="266" spans="1:18" s="38" customFormat="1" x14ac:dyDescent="0.15">
      <c r="A266" s="32">
        <v>10265</v>
      </c>
      <c r="B266" s="32" t="s">
        <v>2849</v>
      </c>
      <c r="C266" s="32">
        <v>1173</v>
      </c>
      <c r="D266" s="32">
        <v>0</v>
      </c>
      <c r="E266" s="15">
        <f>INDEX(monster!$H$2:$H$617,MATCH(skill!C266,monster!$A$2:$A$617,0))</f>
        <v>31.88</v>
      </c>
      <c r="F266" s="15">
        <f>INDEX(monster!$I$2:$I$617,MATCH(C266,monster!$A$2:$A$617,0))</f>
        <v>0.96</v>
      </c>
      <c r="G266" s="15" t="b">
        <f t="shared" si="15"/>
        <v>1</v>
      </c>
      <c r="H266" s="32">
        <v>1</v>
      </c>
      <c r="I266" s="15">
        <f>IF(H266&gt;0,HLOOKUP(R266/100,数值规划表!$B$37:$AA$39,3),1)</f>
        <v>1.7999999999999998</v>
      </c>
      <c r="J266" s="31" t="s">
        <v>1625</v>
      </c>
      <c r="K266" s="15">
        <f>INDEX(数值规划表!$B$15:$B$18,MATCH(J266,攻击范围,0))</f>
        <v>1</v>
      </c>
      <c r="L266" s="30">
        <v>1</v>
      </c>
      <c r="M266" s="41">
        <v>0</v>
      </c>
      <c r="N266" s="15">
        <f t="shared" si="16"/>
        <v>57</v>
      </c>
      <c r="O266" s="15">
        <f t="shared" si="17"/>
        <v>1.73</v>
      </c>
      <c r="P266" s="15">
        <f>IF(G266,INDEX(monster!$J$2:$J$606,MATCH(skill!C266,monster!$A$2:$A$606,0)),Q266)</f>
        <v>1.2</v>
      </c>
      <c r="Q266" s="70"/>
      <c r="R266" s="33">
        <v>150</v>
      </c>
    </row>
    <row r="267" spans="1:18" s="38" customFormat="1" x14ac:dyDescent="0.15">
      <c r="A267" s="32">
        <v>10266</v>
      </c>
      <c r="B267" s="32" t="s">
        <v>2850</v>
      </c>
      <c r="C267" s="32">
        <v>1174</v>
      </c>
      <c r="D267" s="32">
        <v>1</v>
      </c>
      <c r="E267" s="15">
        <f>INDEX(monster!$H$2:$H$617,MATCH(skill!C267,monster!$A$2:$A$617,0))</f>
        <v>35.71</v>
      </c>
      <c r="F267" s="15">
        <f>INDEX(monster!$I$2:$I$617,MATCH(C267,monster!$A$2:$A$617,0))</f>
        <v>1.07</v>
      </c>
      <c r="G267" s="15" t="b">
        <f t="shared" si="15"/>
        <v>1</v>
      </c>
      <c r="H267" s="32">
        <v>1</v>
      </c>
      <c r="I267" s="15">
        <f>IF(H267&gt;0,HLOOKUP(R267/100,数值规划表!$B$37:$AA$39,3),1)</f>
        <v>1.7999999999999998</v>
      </c>
      <c r="J267" s="31" t="s">
        <v>1625</v>
      </c>
      <c r="K267" s="15">
        <f>INDEX(数值规划表!$B$15:$B$18,MATCH(J267,攻击范围,0))</f>
        <v>1</v>
      </c>
      <c r="L267" s="30">
        <v>1</v>
      </c>
      <c r="M267" s="41">
        <v>0</v>
      </c>
      <c r="N267" s="15">
        <f t="shared" si="16"/>
        <v>64</v>
      </c>
      <c r="O267" s="15">
        <f t="shared" si="17"/>
        <v>1.93</v>
      </c>
      <c r="P267" s="15">
        <f>IF(G267,INDEX(monster!$J$2:$J$606,MATCH(skill!C267,monster!$A$2:$A$606,0)),Q267)</f>
        <v>1.2</v>
      </c>
      <c r="Q267" s="70"/>
      <c r="R267" s="33">
        <v>150</v>
      </c>
    </row>
    <row r="268" spans="1:18" s="38" customFormat="1" x14ac:dyDescent="0.15">
      <c r="A268" s="32">
        <v>10267</v>
      </c>
      <c r="B268" s="32" t="s">
        <v>756</v>
      </c>
      <c r="C268" s="32">
        <v>1175</v>
      </c>
      <c r="D268" s="32">
        <v>2</v>
      </c>
      <c r="E268" s="15">
        <f>INDEX(monster!$H$2:$H$617,MATCH(skill!C268,monster!$A$2:$A$617,0))</f>
        <v>39.99</v>
      </c>
      <c r="F268" s="15">
        <f>INDEX(monster!$I$2:$I$617,MATCH(C268,monster!$A$2:$A$617,0))</f>
        <v>1.2</v>
      </c>
      <c r="G268" s="15" t="b">
        <f t="shared" si="15"/>
        <v>1</v>
      </c>
      <c r="H268" s="32">
        <v>1</v>
      </c>
      <c r="I268" s="15">
        <f>IF(H268&gt;0,HLOOKUP(R268/100,数值规划表!$B$37:$AA$39,3),1)</f>
        <v>1.7999999999999998</v>
      </c>
      <c r="J268" s="31" t="s">
        <v>1625</v>
      </c>
      <c r="K268" s="15">
        <f>INDEX(数值规划表!$B$15:$B$18,MATCH(J268,攻击范围,0))</f>
        <v>1</v>
      </c>
      <c r="L268" s="30">
        <v>1</v>
      </c>
      <c r="M268" s="41">
        <v>0</v>
      </c>
      <c r="N268" s="15">
        <f t="shared" si="16"/>
        <v>72</v>
      </c>
      <c r="O268" s="15">
        <f t="shared" si="17"/>
        <v>2.16</v>
      </c>
      <c r="P268" s="15">
        <f>IF(G268,INDEX(monster!$J$2:$J$606,MATCH(skill!C268,monster!$A$2:$A$606,0)),Q268)</f>
        <v>1.2</v>
      </c>
      <c r="Q268" s="70"/>
      <c r="R268" s="33">
        <v>150</v>
      </c>
    </row>
    <row r="269" spans="1:18" s="38" customFormat="1" x14ac:dyDescent="0.15">
      <c r="A269" s="32">
        <v>10268</v>
      </c>
      <c r="B269" s="32" t="s">
        <v>757</v>
      </c>
      <c r="C269" s="32">
        <v>1176</v>
      </c>
      <c r="D269" s="32">
        <v>3</v>
      </c>
      <c r="E269" s="15">
        <f>INDEX(monster!$H$2:$H$617,MATCH(skill!C269,monster!$A$2:$A$617,0))</f>
        <v>44.79</v>
      </c>
      <c r="F269" s="15">
        <f>INDEX(monster!$I$2:$I$617,MATCH(C269,monster!$A$2:$A$617,0))</f>
        <v>1.34</v>
      </c>
      <c r="G269" s="15" t="b">
        <f t="shared" si="15"/>
        <v>1</v>
      </c>
      <c r="H269" s="32">
        <v>1</v>
      </c>
      <c r="I269" s="15">
        <f>IF(H269&gt;0,HLOOKUP(R269/100,数值规划表!$B$37:$AA$39,3),1)</f>
        <v>1.7999999999999998</v>
      </c>
      <c r="J269" s="31" t="s">
        <v>1625</v>
      </c>
      <c r="K269" s="15">
        <f>INDEX(数值规划表!$B$15:$B$18,MATCH(J269,攻击范围,0))</f>
        <v>1</v>
      </c>
      <c r="L269" s="30">
        <v>1</v>
      </c>
      <c r="M269" s="41">
        <v>0</v>
      </c>
      <c r="N269" s="15">
        <f t="shared" si="16"/>
        <v>81</v>
      </c>
      <c r="O269" s="15">
        <f t="shared" si="17"/>
        <v>2.41</v>
      </c>
      <c r="P269" s="15">
        <f>IF(G269,INDEX(monster!$J$2:$J$606,MATCH(skill!C269,monster!$A$2:$A$606,0)),Q269)</f>
        <v>1.2</v>
      </c>
      <c r="Q269" s="70"/>
      <c r="R269" s="33">
        <v>150</v>
      </c>
    </row>
    <row r="270" spans="1:18" s="38" customFormat="1" x14ac:dyDescent="0.15">
      <c r="A270" s="32">
        <v>10269</v>
      </c>
      <c r="B270" s="32" t="s">
        <v>758</v>
      </c>
      <c r="C270" s="32">
        <v>1177</v>
      </c>
      <c r="D270" s="32">
        <v>4</v>
      </c>
      <c r="E270" s="15">
        <f>INDEX(monster!$H$2:$H$617,MATCH(skill!C270,monster!$A$2:$A$617,0))</f>
        <v>50.16</v>
      </c>
      <c r="F270" s="15">
        <f>INDEX(monster!$I$2:$I$617,MATCH(C270,monster!$A$2:$A$617,0))</f>
        <v>1.5</v>
      </c>
      <c r="G270" s="15" t="b">
        <f t="shared" si="15"/>
        <v>1</v>
      </c>
      <c r="H270" s="32">
        <v>1</v>
      </c>
      <c r="I270" s="15">
        <f>IF(H270&gt;0,HLOOKUP(R270/100,数值规划表!$B$37:$AA$39,3),1)</f>
        <v>1.7999999999999998</v>
      </c>
      <c r="J270" s="31" t="s">
        <v>1625</v>
      </c>
      <c r="K270" s="15">
        <f>INDEX(数值规划表!$B$15:$B$18,MATCH(J270,攻击范围,0))</f>
        <v>1</v>
      </c>
      <c r="L270" s="30">
        <v>1</v>
      </c>
      <c r="M270" s="41">
        <v>0</v>
      </c>
      <c r="N270" s="15">
        <f t="shared" si="16"/>
        <v>90</v>
      </c>
      <c r="O270" s="15">
        <f t="shared" si="17"/>
        <v>2.7</v>
      </c>
      <c r="P270" s="15">
        <f>IF(G270,INDEX(monster!$J$2:$J$606,MATCH(skill!C270,monster!$A$2:$A$606,0)),Q270)</f>
        <v>1.2</v>
      </c>
      <c r="Q270" s="70"/>
      <c r="R270" s="33">
        <v>150</v>
      </c>
    </row>
    <row r="271" spans="1:18" s="38" customFormat="1" x14ac:dyDescent="0.15">
      <c r="A271" s="32">
        <v>10270</v>
      </c>
      <c r="B271" s="32" t="s">
        <v>759</v>
      </c>
      <c r="C271" s="32">
        <v>1178</v>
      </c>
      <c r="D271" s="32">
        <v>5</v>
      </c>
      <c r="E271" s="15">
        <f>INDEX(monster!$H$2:$H$617,MATCH(skill!C271,monster!$A$2:$A$617,0))</f>
        <v>56.18</v>
      </c>
      <c r="F271" s="15">
        <f>INDEX(monster!$I$2:$I$617,MATCH(C271,monster!$A$2:$A$617,0))</f>
        <v>1.69</v>
      </c>
      <c r="G271" s="15" t="b">
        <f t="shared" si="15"/>
        <v>1</v>
      </c>
      <c r="H271" s="32">
        <v>1</v>
      </c>
      <c r="I271" s="15">
        <f>IF(H271&gt;0,HLOOKUP(R271/100,数值规划表!$B$37:$AA$39,3),1)</f>
        <v>1.7999999999999998</v>
      </c>
      <c r="J271" s="31" t="s">
        <v>1625</v>
      </c>
      <c r="K271" s="15">
        <f>INDEX(数值规划表!$B$15:$B$18,MATCH(J271,攻击范围,0))</f>
        <v>1</v>
      </c>
      <c r="L271" s="30">
        <v>1</v>
      </c>
      <c r="M271" s="41">
        <v>0</v>
      </c>
      <c r="N271" s="15">
        <f t="shared" si="16"/>
        <v>101</v>
      </c>
      <c r="O271" s="15">
        <f t="shared" si="17"/>
        <v>3.04</v>
      </c>
      <c r="P271" s="15">
        <f>IF(G271,INDEX(monster!$J$2:$J$606,MATCH(skill!C271,monster!$A$2:$A$606,0)),Q271)</f>
        <v>1.2</v>
      </c>
      <c r="Q271" s="70"/>
      <c r="R271" s="33">
        <v>150</v>
      </c>
    </row>
    <row r="272" spans="1:18" s="38" customFormat="1" x14ac:dyDescent="0.15">
      <c r="A272" s="32">
        <v>10271</v>
      </c>
      <c r="B272" s="32" t="s">
        <v>760</v>
      </c>
      <c r="C272" s="32">
        <v>1179</v>
      </c>
      <c r="D272" s="32">
        <v>6</v>
      </c>
      <c r="E272" s="15">
        <f>INDEX(monster!$H$2:$H$617,MATCH(skill!C272,monster!$A$2:$A$617,0))</f>
        <v>62.93</v>
      </c>
      <c r="F272" s="15">
        <f>INDEX(monster!$I$2:$I$617,MATCH(C272,monster!$A$2:$A$617,0))</f>
        <v>1.89</v>
      </c>
      <c r="G272" s="15" t="b">
        <f t="shared" si="15"/>
        <v>1</v>
      </c>
      <c r="H272" s="32">
        <v>1</v>
      </c>
      <c r="I272" s="15">
        <f>IF(H272&gt;0,HLOOKUP(R272/100,数值规划表!$B$37:$AA$39,3),1)</f>
        <v>1.7999999999999998</v>
      </c>
      <c r="J272" s="31" t="s">
        <v>1625</v>
      </c>
      <c r="K272" s="15">
        <f>INDEX(数值规划表!$B$15:$B$18,MATCH(J272,攻击范围,0))</f>
        <v>1</v>
      </c>
      <c r="L272" s="30">
        <v>1</v>
      </c>
      <c r="M272" s="41">
        <v>0</v>
      </c>
      <c r="N272" s="15">
        <f t="shared" si="16"/>
        <v>113</v>
      </c>
      <c r="O272" s="15">
        <f t="shared" si="17"/>
        <v>3.4</v>
      </c>
      <c r="P272" s="15">
        <f>IF(G272,INDEX(monster!$J$2:$J$606,MATCH(skill!C272,monster!$A$2:$A$606,0)),Q272)</f>
        <v>1.2</v>
      </c>
      <c r="Q272" s="70"/>
      <c r="R272" s="33">
        <v>150</v>
      </c>
    </row>
    <row r="273" spans="1:18" s="38" customFormat="1" x14ac:dyDescent="0.15">
      <c r="A273" s="32">
        <v>10272</v>
      </c>
      <c r="B273" s="32" t="s">
        <v>761</v>
      </c>
      <c r="C273" s="32">
        <v>1180</v>
      </c>
      <c r="D273" s="32">
        <v>7</v>
      </c>
      <c r="E273" s="15">
        <f>INDEX(monster!$H$2:$H$617,MATCH(skill!C273,monster!$A$2:$A$617,0))</f>
        <v>70.48</v>
      </c>
      <c r="F273" s="15">
        <f>INDEX(monster!$I$2:$I$617,MATCH(C273,monster!$A$2:$A$617,0))</f>
        <v>2.11</v>
      </c>
      <c r="G273" s="15" t="b">
        <f t="shared" si="15"/>
        <v>1</v>
      </c>
      <c r="H273" s="32">
        <v>1</v>
      </c>
      <c r="I273" s="15">
        <f>IF(H273&gt;0,HLOOKUP(R273/100,数值规划表!$B$37:$AA$39,3),1)</f>
        <v>1.7999999999999998</v>
      </c>
      <c r="J273" s="31" t="s">
        <v>1625</v>
      </c>
      <c r="K273" s="15">
        <f>INDEX(数值规划表!$B$15:$B$18,MATCH(J273,攻击范围,0))</f>
        <v>1</v>
      </c>
      <c r="L273" s="30">
        <v>1</v>
      </c>
      <c r="M273" s="41">
        <v>0</v>
      </c>
      <c r="N273" s="15">
        <f t="shared" si="16"/>
        <v>127</v>
      </c>
      <c r="O273" s="15">
        <f t="shared" si="17"/>
        <v>3.8</v>
      </c>
      <c r="P273" s="15">
        <f>IF(G273,INDEX(monster!$J$2:$J$606,MATCH(skill!C273,monster!$A$2:$A$606,0)),Q273)</f>
        <v>1.2</v>
      </c>
      <c r="Q273" s="70"/>
      <c r="R273" s="33">
        <v>150</v>
      </c>
    </row>
    <row r="274" spans="1:18" s="38" customFormat="1" x14ac:dyDescent="0.15">
      <c r="A274" s="32">
        <v>10273</v>
      </c>
      <c r="B274" s="32" t="s">
        <v>762</v>
      </c>
      <c r="C274" s="32">
        <v>1181</v>
      </c>
      <c r="D274" s="32">
        <v>8</v>
      </c>
      <c r="E274" s="15">
        <f>INDEX(monster!$H$2:$H$617,MATCH(skill!C274,monster!$A$2:$A$617,0))</f>
        <v>78.930000000000007</v>
      </c>
      <c r="F274" s="15">
        <f>INDEX(monster!$I$2:$I$617,MATCH(C274,monster!$A$2:$A$617,0))</f>
        <v>2.37</v>
      </c>
      <c r="G274" s="15" t="b">
        <f t="shared" si="15"/>
        <v>1</v>
      </c>
      <c r="H274" s="32">
        <v>1</v>
      </c>
      <c r="I274" s="15">
        <f>IF(H274&gt;0,HLOOKUP(R274/100,数值规划表!$B$37:$AA$39,3),1)</f>
        <v>1.7999999999999998</v>
      </c>
      <c r="J274" s="31" t="s">
        <v>1625</v>
      </c>
      <c r="K274" s="15">
        <f>INDEX(数值规划表!$B$15:$B$18,MATCH(J274,攻击范围,0))</f>
        <v>1</v>
      </c>
      <c r="L274" s="30">
        <v>1</v>
      </c>
      <c r="M274" s="41">
        <v>0</v>
      </c>
      <c r="N274" s="15">
        <f t="shared" si="16"/>
        <v>142</v>
      </c>
      <c r="O274" s="15">
        <f t="shared" si="17"/>
        <v>4.2699999999999996</v>
      </c>
      <c r="P274" s="15">
        <f>IF(G274,INDEX(monster!$J$2:$J$606,MATCH(skill!C274,monster!$A$2:$A$606,0)),Q274)</f>
        <v>1.2</v>
      </c>
      <c r="Q274" s="70"/>
      <c r="R274" s="33">
        <v>150</v>
      </c>
    </row>
    <row r="275" spans="1:18" s="38" customFormat="1" x14ac:dyDescent="0.15">
      <c r="A275" s="32">
        <v>10274</v>
      </c>
      <c r="B275" s="32" t="s">
        <v>763</v>
      </c>
      <c r="C275" s="32">
        <v>1182</v>
      </c>
      <c r="D275" s="32">
        <v>9</v>
      </c>
      <c r="E275" s="15">
        <f>INDEX(monster!$H$2:$H$617,MATCH(skill!C275,monster!$A$2:$A$617,0))</f>
        <v>88.41</v>
      </c>
      <c r="F275" s="15">
        <f>INDEX(monster!$I$2:$I$617,MATCH(C275,monster!$A$2:$A$617,0))</f>
        <v>2.65</v>
      </c>
      <c r="G275" s="15" t="b">
        <f t="shared" si="15"/>
        <v>1</v>
      </c>
      <c r="H275" s="32">
        <v>1</v>
      </c>
      <c r="I275" s="15">
        <f>IF(H275&gt;0,HLOOKUP(R275/100,数值规划表!$B$37:$AA$39,3),1)</f>
        <v>1.7999999999999998</v>
      </c>
      <c r="J275" s="31" t="s">
        <v>1625</v>
      </c>
      <c r="K275" s="15">
        <f>INDEX(数值规划表!$B$15:$B$18,MATCH(J275,攻击范围,0))</f>
        <v>1</v>
      </c>
      <c r="L275" s="30">
        <v>1</v>
      </c>
      <c r="M275" s="41">
        <v>0</v>
      </c>
      <c r="N275" s="15">
        <f t="shared" si="16"/>
        <v>159</v>
      </c>
      <c r="O275" s="15">
        <f t="shared" si="17"/>
        <v>4.7699999999999996</v>
      </c>
      <c r="P275" s="15">
        <f>IF(G275,INDEX(monster!$J$2:$J$606,MATCH(skill!C275,monster!$A$2:$A$606,0)),Q275)</f>
        <v>1.2</v>
      </c>
      <c r="Q275" s="70"/>
      <c r="R275" s="33">
        <v>150</v>
      </c>
    </row>
    <row r="276" spans="1:18" s="38" customFormat="1" x14ac:dyDescent="0.15">
      <c r="A276" s="32">
        <v>10275</v>
      </c>
      <c r="B276" s="32" t="s">
        <v>764</v>
      </c>
      <c r="C276" s="32">
        <v>1183</v>
      </c>
      <c r="D276" s="32">
        <v>10</v>
      </c>
      <c r="E276" s="15">
        <f>INDEX(monster!$H$2:$H$617,MATCH(skill!C276,monster!$A$2:$A$617,0))</f>
        <v>99.01</v>
      </c>
      <c r="F276" s="15">
        <f>INDEX(monster!$I$2:$I$617,MATCH(C276,monster!$A$2:$A$617,0))</f>
        <v>2.97</v>
      </c>
      <c r="G276" s="15" t="b">
        <f t="shared" si="15"/>
        <v>1</v>
      </c>
      <c r="H276" s="32">
        <v>1</v>
      </c>
      <c r="I276" s="15">
        <f>IF(H276&gt;0,HLOOKUP(R276/100,数值规划表!$B$37:$AA$39,3),1)</f>
        <v>1.7999999999999998</v>
      </c>
      <c r="J276" s="31" t="s">
        <v>1625</v>
      </c>
      <c r="K276" s="15">
        <f>INDEX(数值规划表!$B$15:$B$18,MATCH(J276,攻击范围,0))</f>
        <v>1</v>
      </c>
      <c r="L276" s="30">
        <v>1</v>
      </c>
      <c r="M276" s="41">
        <v>0</v>
      </c>
      <c r="N276" s="15">
        <f t="shared" si="16"/>
        <v>178</v>
      </c>
      <c r="O276" s="15">
        <f t="shared" si="17"/>
        <v>5.35</v>
      </c>
      <c r="P276" s="15">
        <f>IF(G276,INDEX(monster!$J$2:$J$606,MATCH(skill!C276,monster!$A$2:$A$606,0)),Q276)</f>
        <v>1.2</v>
      </c>
      <c r="Q276" s="70"/>
      <c r="R276" s="33">
        <v>150</v>
      </c>
    </row>
    <row r="277" spans="1:18" s="38" customFormat="1" x14ac:dyDescent="0.15">
      <c r="A277" s="32">
        <v>10287</v>
      </c>
      <c r="B277" s="32" t="s">
        <v>2851</v>
      </c>
      <c r="C277" s="32">
        <v>1195</v>
      </c>
      <c r="D277" s="32">
        <v>0</v>
      </c>
      <c r="E277" s="15">
        <f>INDEX(monster!$H$2:$H$617,MATCH(skill!C277,monster!$A$2:$A$617,0))</f>
        <v>58.49</v>
      </c>
      <c r="F277" s="15">
        <f>INDEX(monster!$I$2:$I$617,MATCH(C277,monster!$A$2:$A$617,0))</f>
        <v>1.75</v>
      </c>
      <c r="G277" s="15" t="b">
        <v>1</v>
      </c>
      <c r="H277" s="32">
        <v>1</v>
      </c>
      <c r="I277" s="15">
        <f>IF(H277&gt;0,HLOOKUP(R277/100,数值规划表!$B$37:$AA$39,3),1)</f>
        <v>2.3760000000000003</v>
      </c>
      <c r="J277" s="31" t="s">
        <v>1625</v>
      </c>
      <c r="K277" s="15">
        <f>INDEX(数值规划表!$B$15:$B$18,MATCH(J277,攻击范围,0))</f>
        <v>1</v>
      </c>
      <c r="L277" s="30">
        <v>0.42</v>
      </c>
      <c r="M277" s="70">
        <v>0</v>
      </c>
      <c r="N277" s="15">
        <f t="shared" si="16"/>
        <v>58</v>
      </c>
      <c r="O277" s="15">
        <f t="shared" si="17"/>
        <v>1.75</v>
      </c>
      <c r="P277" s="15">
        <f>IF(G277,INDEX(monster!$J$2:$J$606,MATCH(skill!C277,monster!$A$2:$A$606,0)),Q277)</f>
        <v>5</v>
      </c>
      <c r="Q277" s="70">
        <v>5</v>
      </c>
      <c r="R277" s="33">
        <v>180</v>
      </c>
    </row>
    <row r="278" spans="1:18" s="38" customFormat="1" x14ac:dyDescent="0.15">
      <c r="A278" s="32">
        <v>10288</v>
      </c>
      <c r="B278" s="32" t="s">
        <v>2852</v>
      </c>
      <c r="C278" s="32">
        <v>1196</v>
      </c>
      <c r="D278" s="32">
        <v>1</v>
      </c>
      <c r="E278" s="15">
        <f>INDEX(monster!$H$2:$H$617,MATCH(skill!C278,monster!$A$2:$A$617,0))</f>
        <v>65.510000000000005</v>
      </c>
      <c r="F278" s="15">
        <f>INDEX(monster!$I$2:$I$617,MATCH(C278,monster!$A$2:$A$617,0))</f>
        <v>1.97</v>
      </c>
      <c r="G278" s="15" t="b">
        <v>1</v>
      </c>
      <c r="H278" s="32">
        <v>1</v>
      </c>
      <c r="I278" s="15">
        <f>IF(H278&gt;0,HLOOKUP(R278/100,数值规划表!$B$37:$AA$39,3),1)</f>
        <v>2.3760000000000003</v>
      </c>
      <c r="J278" s="31" t="s">
        <v>1625</v>
      </c>
      <c r="K278" s="15">
        <f>INDEX(数值规划表!$B$15:$B$18,MATCH(J278,攻击范围,0))</f>
        <v>1</v>
      </c>
      <c r="L278" s="70">
        <v>0.42</v>
      </c>
      <c r="M278" s="41">
        <v>0</v>
      </c>
      <c r="N278" s="15">
        <f t="shared" si="16"/>
        <v>65</v>
      </c>
      <c r="O278" s="15">
        <f t="shared" si="17"/>
        <v>1.97</v>
      </c>
      <c r="P278" s="15">
        <f>IF(G278,INDEX(monster!$J$2:$J$606,MATCH(skill!C278,monster!$A$2:$A$606,0)),Q278)</f>
        <v>5</v>
      </c>
      <c r="Q278" s="70">
        <v>5</v>
      </c>
      <c r="R278" s="33">
        <v>180</v>
      </c>
    </row>
    <row r="279" spans="1:18" s="38" customFormat="1" x14ac:dyDescent="0.15">
      <c r="A279" s="32">
        <v>10289</v>
      </c>
      <c r="B279" s="32" t="s">
        <v>765</v>
      </c>
      <c r="C279" s="32">
        <v>1197</v>
      </c>
      <c r="D279" s="32">
        <v>2</v>
      </c>
      <c r="E279" s="15">
        <f>INDEX(monster!$H$2:$H$617,MATCH(skill!C279,monster!$A$2:$A$617,0))</f>
        <v>73.37</v>
      </c>
      <c r="F279" s="15">
        <f>INDEX(monster!$I$2:$I$617,MATCH(C279,monster!$A$2:$A$617,0))</f>
        <v>2.2000000000000002</v>
      </c>
      <c r="G279" s="15" t="b">
        <v>1</v>
      </c>
      <c r="H279" s="32">
        <v>1</v>
      </c>
      <c r="I279" s="15">
        <f>IF(H279&gt;0,HLOOKUP(R279/100,数值规划表!$B$37:$AA$39,3),1)</f>
        <v>2.3760000000000003</v>
      </c>
      <c r="J279" s="31" t="s">
        <v>1625</v>
      </c>
      <c r="K279" s="15">
        <f>INDEX(数值规划表!$B$15:$B$18,MATCH(J279,攻击范围,0))</f>
        <v>1</v>
      </c>
      <c r="L279" s="70">
        <v>0.42</v>
      </c>
      <c r="M279" s="41">
        <v>0</v>
      </c>
      <c r="N279" s="15">
        <f t="shared" si="16"/>
        <v>73</v>
      </c>
      <c r="O279" s="15">
        <f t="shared" si="17"/>
        <v>2.2000000000000002</v>
      </c>
      <c r="P279" s="15">
        <f>IF(G279,INDEX(monster!$J$2:$J$606,MATCH(skill!C279,monster!$A$2:$A$606,0)),Q279)</f>
        <v>5</v>
      </c>
      <c r="Q279" s="70">
        <v>5</v>
      </c>
      <c r="R279" s="33">
        <v>180</v>
      </c>
    </row>
    <row r="280" spans="1:18" s="38" customFormat="1" x14ac:dyDescent="0.15">
      <c r="A280" s="32">
        <v>10290</v>
      </c>
      <c r="B280" s="32" t="s">
        <v>766</v>
      </c>
      <c r="C280" s="32">
        <v>1198</v>
      </c>
      <c r="D280" s="32">
        <v>3</v>
      </c>
      <c r="E280" s="15">
        <f>INDEX(monster!$H$2:$H$617,MATCH(skill!C280,monster!$A$2:$A$617,0))</f>
        <v>82.17</v>
      </c>
      <c r="F280" s="15">
        <f>INDEX(monster!$I$2:$I$617,MATCH(C280,monster!$A$2:$A$617,0))</f>
        <v>2.4700000000000002</v>
      </c>
      <c r="G280" s="15" t="b">
        <v>1</v>
      </c>
      <c r="H280" s="32">
        <v>1</v>
      </c>
      <c r="I280" s="15">
        <f>IF(H280&gt;0,HLOOKUP(R280/100,数值规划表!$B$37:$AA$39,3),1)</f>
        <v>2.3760000000000003</v>
      </c>
      <c r="J280" s="31" t="s">
        <v>1625</v>
      </c>
      <c r="K280" s="15">
        <f>INDEX(数值规划表!$B$15:$B$18,MATCH(J280,攻击范围,0))</f>
        <v>1</v>
      </c>
      <c r="L280" s="70">
        <v>0.42</v>
      </c>
      <c r="M280" s="41">
        <v>0</v>
      </c>
      <c r="N280" s="15">
        <f t="shared" si="16"/>
        <v>82</v>
      </c>
      <c r="O280" s="15">
        <f t="shared" si="17"/>
        <v>2.46</v>
      </c>
      <c r="P280" s="15">
        <f>IF(G280,INDEX(monster!$J$2:$J$606,MATCH(skill!C280,monster!$A$2:$A$606,0)),Q280)</f>
        <v>5</v>
      </c>
      <c r="Q280" s="70">
        <v>5</v>
      </c>
      <c r="R280" s="33">
        <v>180</v>
      </c>
    </row>
    <row r="281" spans="1:18" s="38" customFormat="1" x14ac:dyDescent="0.15">
      <c r="A281" s="32">
        <v>10291</v>
      </c>
      <c r="B281" s="32" t="s">
        <v>767</v>
      </c>
      <c r="C281" s="32">
        <v>1199</v>
      </c>
      <c r="D281" s="32">
        <v>4</v>
      </c>
      <c r="E281" s="15">
        <f>INDEX(monster!$H$2:$H$617,MATCH(skill!C281,monster!$A$2:$A$617,0))</f>
        <v>92.04</v>
      </c>
      <c r="F281" s="15">
        <f>INDEX(monster!$I$2:$I$617,MATCH(C281,monster!$A$2:$A$617,0))</f>
        <v>2.76</v>
      </c>
      <c r="G281" s="15" t="b">
        <v>1</v>
      </c>
      <c r="H281" s="32">
        <v>1</v>
      </c>
      <c r="I281" s="15">
        <f>IF(H281&gt;0,HLOOKUP(R281/100,数值规划表!$B$37:$AA$39,3),1)</f>
        <v>2.3760000000000003</v>
      </c>
      <c r="J281" s="31" t="s">
        <v>1625</v>
      </c>
      <c r="K281" s="15">
        <f>INDEX(数值规划表!$B$15:$B$18,MATCH(J281,攻击范围,0))</f>
        <v>1</v>
      </c>
      <c r="L281" s="70">
        <v>0.42</v>
      </c>
      <c r="M281" s="41">
        <v>0</v>
      </c>
      <c r="N281" s="15">
        <f t="shared" si="16"/>
        <v>92</v>
      </c>
      <c r="O281" s="15">
        <f t="shared" si="17"/>
        <v>2.75</v>
      </c>
      <c r="P281" s="15">
        <f>IF(G281,INDEX(monster!$J$2:$J$606,MATCH(skill!C281,monster!$A$2:$A$606,0)),Q281)</f>
        <v>5</v>
      </c>
      <c r="Q281" s="70">
        <v>5</v>
      </c>
      <c r="R281" s="33">
        <v>180</v>
      </c>
    </row>
    <row r="282" spans="1:18" s="38" customFormat="1" x14ac:dyDescent="0.15">
      <c r="A282" s="32">
        <v>10292</v>
      </c>
      <c r="B282" s="32" t="s">
        <v>768</v>
      </c>
      <c r="C282" s="32">
        <v>1200</v>
      </c>
      <c r="D282" s="32">
        <v>5</v>
      </c>
      <c r="E282" s="15">
        <f>INDEX(monster!$H$2:$H$617,MATCH(skill!C282,monster!$A$2:$A$617,0))</f>
        <v>103.08</v>
      </c>
      <c r="F282" s="15">
        <f>INDEX(monster!$I$2:$I$617,MATCH(C282,monster!$A$2:$A$617,0))</f>
        <v>3.09</v>
      </c>
      <c r="G282" s="15" t="b">
        <v>1</v>
      </c>
      <c r="H282" s="32">
        <v>1</v>
      </c>
      <c r="I282" s="15">
        <f>IF(H282&gt;0,HLOOKUP(R282/100,数值规划表!$B$37:$AA$39,3),1)</f>
        <v>2.3760000000000003</v>
      </c>
      <c r="J282" s="31" t="s">
        <v>1625</v>
      </c>
      <c r="K282" s="15">
        <f>INDEX(数值规划表!$B$15:$B$18,MATCH(J282,攻击范围,0))</f>
        <v>1</v>
      </c>
      <c r="L282" s="70">
        <v>0.42</v>
      </c>
      <c r="M282" s="41">
        <v>0</v>
      </c>
      <c r="N282" s="15">
        <f t="shared" si="16"/>
        <v>103</v>
      </c>
      <c r="O282" s="15">
        <f t="shared" si="17"/>
        <v>3.08</v>
      </c>
      <c r="P282" s="15">
        <f>IF(G282,INDEX(monster!$J$2:$J$606,MATCH(skill!C282,monster!$A$2:$A$606,0)),Q282)</f>
        <v>5</v>
      </c>
      <c r="Q282" s="70">
        <v>5</v>
      </c>
      <c r="R282" s="33">
        <v>180</v>
      </c>
    </row>
    <row r="283" spans="1:18" s="38" customFormat="1" x14ac:dyDescent="0.15">
      <c r="A283" s="32">
        <v>10293</v>
      </c>
      <c r="B283" s="32" t="s">
        <v>769</v>
      </c>
      <c r="C283" s="32">
        <v>1201</v>
      </c>
      <c r="D283" s="32">
        <v>6</v>
      </c>
      <c r="E283" s="15">
        <f>INDEX(monster!$H$2:$H$617,MATCH(skill!C283,monster!$A$2:$A$617,0))</f>
        <v>115.45</v>
      </c>
      <c r="F283" s="15">
        <f>INDEX(monster!$I$2:$I$617,MATCH(C283,monster!$A$2:$A$617,0))</f>
        <v>3.46</v>
      </c>
      <c r="G283" s="15" t="b">
        <v>1</v>
      </c>
      <c r="H283" s="32">
        <v>1</v>
      </c>
      <c r="I283" s="15">
        <f>IF(H283&gt;0,HLOOKUP(R283/100,数值规划表!$B$37:$AA$39,3),1)</f>
        <v>2.3760000000000003</v>
      </c>
      <c r="J283" s="31" t="s">
        <v>1625</v>
      </c>
      <c r="K283" s="15">
        <f>INDEX(数值规划表!$B$15:$B$18,MATCH(J283,攻击范围,0))</f>
        <v>1</v>
      </c>
      <c r="L283" s="70">
        <v>0.42</v>
      </c>
      <c r="M283" s="41">
        <v>0</v>
      </c>
      <c r="N283" s="15">
        <f t="shared" si="16"/>
        <v>115</v>
      </c>
      <c r="O283" s="15">
        <f t="shared" si="17"/>
        <v>3.45</v>
      </c>
      <c r="P283" s="15">
        <f>IF(G283,INDEX(monster!$J$2:$J$606,MATCH(skill!C283,monster!$A$2:$A$606,0)),Q283)</f>
        <v>5</v>
      </c>
      <c r="Q283" s="70">
        <v>5</v>
      </c>
      <c r="R283" s="33">
        <v>180</v>
      </c>
    </row>
    <row r="284" spans="1:18" s="38" customFormat="1" x14ac:dyDescent="0.15">
      <c r="A284" s="32">
        <v>10294</v>
      </c>
      <c r="B284" s="32" t="s">
        <v>770</v>
      </c>
      <c r="C284" s="32">
        <v>1202</v>
      </c>
      <c r="D284" s="32">
        <v>7</v>
      </c>
      <c r="E284" s="15">
        <f>INDEX(monster!$H$2:$H$617,MATCH(skill!C284,monster!$A$2:$A$617,0))</f>
        <v>129.30000000000001</v>
      </c>
      <c r="F284" s="15">
        <f>INDEX(monster!$I$2:$I$617,MATCH(C284,monster!$A$2:$A$617,0))</f>
        <v>3.88</v>
      </c>
      <c r="G284" s="15" t="b">
        <v>1</v>
      </c>
      <c r="H284" s="32">
        <v>1</v>
      </c>
      <c r="I284" s="15">
        <f>IF(H284&gt;0,HLOOKUP(R284/100,数值规划表!$B$37:$AA$39,3),1)</f>
        <v>2.3760000000000003</v>
      </c>
      <c r="J284" s="31" t="s">
        <v>1625</v>
      </c>
      <c r="K284" s="15">
        <f>INDEX(数值规划表!$B$15:$B$18,MATCH(J284,攻击范围,0))</f>
        <v>1</v>
      </c>
      <c r="L284" s="70">
        <v>0.42</v>
      </c>
      <c r="M284" s="41">
        <v>0</v>
      </c>
      <c r="N284" s="15">
        <f t="shared" si="16"/>
        <v>129</v>
      </c>
      <c r="O284" s="15">
        <f t="shared" si="17"/>
        <v>3.87</v>
      </c>
      <c r="P284" s="15">
        <f>IF(G284,INDEX(monster!$J$2:$J$606,MATCH(skill!C284,monster!$A$2:$A$606,0)),Q284)</f>
        <v>5</v>
      </c>
      <c r="Q284" s="70">
        <v>5</v>
      </c>
      <c r="R284" s="33">
        <v>180</v>
      </c>
    </row>
    <row r="285" spans="1:18" s="38" customFormat="1" x14ac:dyDescent="0.15">
      <c r="A285" s="32">
        <v>10295</v>
      </c>
      <c r="B285" s="32" t="s">
        <v>771</v>
      </c>
      <c r="C285" s="32">
        <v>1203</v>
      </c>
      <c r="D285" s="32">
        <v>8</v>
      </c>
      <c r="E285" s="15">
        <f>INDEX(monster!$H$2:$H$617,MATCH(skill!C285,monster!$A$2:$A$617,0))</f>
        <v>144.82</v>
      </c>
      <c r="F285" s="15">
        <f>INDEX(monster!$I$2:$I$617,MATCH(C285,monster!$A$2:$A$617,0))</f>
        <v>4.34</v>
      </c>
      <c r="G285" s="15" t="b">
        <v>1</v>
      </c>
      <c r="H285" s="32">
        <v>1</v>
      </c>
      <c r="I285" s="15">
        <f>IF(H285&gt;0,HLOOKUP(R285/100,数值规划表!$B$37:$AA$39,3),1)</f>
        <v>2.3760000000000003</v>
      </c>
      <c r="J285" s="31" t="s">
        <v>1625</v>
      </c>
      <c r="K285" s="15">
        <f>INDEX(数值规划表!$B$15:$B$18,MATCH(J285,攻击范围,0))</f>
        <v>1</v>
      </c>
      <c r="L285" s="70">
        <v>0.42</v>
      </c>
      <c r="M285" s="41">
        <v>0</v>
      </c>
      <c r="N285" s="15">
        <f t="shared" si="16"/>
        <v>145</v>
      </c>
      <c r="O285" s="15">
        <f t="shared" si="17"/>
        <v>4.33</v>
      </c>
      <c r="P285" s="15">
        <f>IF(G285,INDEX(monster!$J$2:$J$606,MATCH(skill!C285,monster!$A$2:$A$606,0)),Q285)</f>
        <v>5</v>
      </c>
      <c r="Q285" s="70">
        <v>5</v>
      </c>
      <c r="R285" s="33">
        <v>180</v>
      </c>
    </row>
    <row r="286" spans="1:18" s="38" customFormat="1" x14ac:dyDescent="0.15">
      <c r="A286" s="32">
        <v>10296</v>
      </c>
      <c r="B286" s="32" t="s">
        <v>772</v>
      </c>
      <c r="C286" s="32">
        <v>1204</v>
      </c>
      <c r="D286" s="32">
        <v>9</v>
      </c>
      <c r="E286" s="15">
        <f>INDEX(monster!$H$2:$H$617,MATCH(skill!C286,monster!$A$2:$A$617,0))</f>
        <v>162.19999999999999</v>
      </c>
      <c r="F286" s="15">
        <f>INDEX(monster!$I$2:$I$617,MATCH(C286,monster!$A$2:$A$617,0))</f>
        <v>4.87</v>
      </c>
      <c r="G286" s="15" t="b">
        <v>1</v>
      </c>
      <c r="H286" s="32">
        <v>1</v>
      </c>
      <c r="I286" s="15">
        <f>IF(H286&gt;0,HLOOKUP(R286/100,数值规划表!$B$37:$AA$39,3),1)</f>
        <v>2.3760000000000003</v>
      </c>
      <c r="J286" s="31" t="s">
        <v>1625</v>
      </c>
      <c r="K286" s="15">
        <f>INDEX(数值规划表!$B$15:$B$18,MATCH(J286,攻击范围,0))</f>
        <v>1</v>
      </c>
      <c r="L286" s="70">
        <v>0.42</v>
      </c>
      <c r="M286" s="41">
        <v>0</v>
      </c>
      <c r="N286" s="15">
        <f t="shared" si="16"/>
        <v>162</v>
      </c>
      <c r="O286" s="15">
        <f t="shared" si="17"/>
        <v>4.8600000000000003</v>
      </c>
      <c r="P286" s="15">
        <f>IF(G286,INDEX(monster!$J$2:$J$606,MATCH(skill!C286,monster!$A$2:$A$606,0)),Q286)</f>
        <v>5</v>
      </c>
      <c r="Q286" s="70">
        <v>5</v>
      </c>
      <c r="R286" s="33">
        <v>180</v>
      </c>
    </row>
    <row r="287" spans="1:18" s="38" customFormat="1" x14ac:dyDescent="0.15">
      <c r="A287" s="32">
        <v>10297</v>
      </c>
      <c r="B287" s="32" t="s">
        <v>773</v>
      </c>
      <c r="C287" s="32">
        <v>1205</v>
      </c>
      <c r="D287" s="32">
        <v>10</v>
      </c>
      <c r="E287" s="15">
        <f>INDEX(monster!$H$2:$H$617,MATCH(skill!C287,monster!$A$2:$A$617,0))</f>
        <v>181.66</v>
      </c>
      <c r="F287" s="15">
        <f>INDEX(monster!$I$2:$I$617,MATCH(C287,monster!$A$2:$A$617,0))</f>
        <v>5.45</v>
      </c>
      <c r="G287" s="15" t="b">
        <v>1</v>
      </c>
      <c r="H287" s="32">
        <v>1</v>
      </c>
      <c r="I287" s="15">
        <f>IF(H287&gt;0,HLOOKUP(R287/100,数值规划表!$B$37:$AA$39,3),1)</f>
        <v>2.3760000000000003</v>
      </c>
      <c r="J287" s="31" t="s">
        <v>1625</v>
      </c>
      <c r="K287" s="15">
        <f>INDEX(数值规划表!$B$15:$B$18,MATCH(J287,攻击范围,0))</f>
        <v>1</v>
      </c>
      <c r="L287" s="70">
        <v>0.42</v>
      </c>
      <c r="M287" s="41">
        <v>0</v>
      </c>
      <c r="N287" s="15">
        <f t="shared" si="16"/>
        <v>181</v>
      </c>
      <c r="O287" s="15">
        <f t="shared" si="17"/>
        <v>5.44</v>
      </c>
      <c r="P287" s="15">
        <f>IF(G287,INDEX(monster!$J$2:$J$606,MATCH(skill!C287,monster!$A$2:$A$606,0)),Q287)</f>
        <v>5</v>
      </c>
      <c r="Q287" s="70">
        <v>5</v>
      </c>
      <c r="R287" s="33">
        <v>180</v>
      </c>
    </row>
    <row r="288" spans="1:18" s="38" customFormat="1" x14ac:dyDescent="0.15">
      <c r="A288" s="32">
        <v>10298</v>
      </c>
      <c r="B288" s="32" t="s">
        <v>2853</v>
      </c>
      <c r="C288" s="32">
        <v>1206</v>
      </c>
      <c r="D288" s="32">
        <v>0</v>
      </c>
      <c r="E288" s="15">
        <f>INDEX(monster!$H$2:$H$617,MATCH(skill!C288,monster!$A$2:$A$617,0))</f>
        <v>41.25</v>
      </c>
      <c r="F288" s="15">
        <f>INDEX(monster!$I$2:$I$617,MATCH(C288,monster!$A$2:$A$617,0))</f>
        <v>1.24</v>
      </c>
      <c r="G288" s="15" t="b">
        <f t="shared" si="15"/>
        <v>1</v>
      </c>
      <c r="H288" s="32">
        <v>1</v>
      </c>
      <c r="I288" s="15">
        <f>IF(H288&gt;0,HLOOKUP(R288/100,数值规划表!$B$37:$AA$39,3),1)</f>
        <v>2.8</v>
      </c>
      <c r="J288" s="31" t="s">
        <v>1625</v>
      </c>
      <c r="K288" s="15">
        <f>INDEX(数值规划表!$B$15:$B$18,MATCH(J288,攻击范围,0))</f>
        <v>1</v>
      </c>
      <c r="L288" s="30">
        <v>1</v>
      </c>
      <c r="M288" s="41">
        <v>0</v>
      </c>
      <c r="N288" s="15">
        <f t="shared" si="16"/>
        <v>116</v>
      </c>
      <c r="O288" s="15">
        <f t="shared" si="17"/>
        <v>3.47</v>
      </c>
      <c r="P288" s="15">
        <f>IF(G288,INDEX(monster!$J$2:$J$606,MATCH(skill!C288,monster!$A$2:$A$606,0)),Q288)</f>
        <v>1.2</v>
      </c>
      <c r="Q288" s="70"/>
      <c r="R288" s="33">
        <v>200</v>
      </c>
    </row>
    <row r="289" spans="1:18" s="38" customFormat="1" x14ac:dyDescent="0.15">
      <c r="A289" s="32">
        <v>10299</v>
      </c>
      <c r="B289" s="32" t="s">
        <v>2854</v>
      </c>
      <c r="C289" s="32">
        <v>1207</v>
      </c>
      <c r="D289" s="32">
        <v>1</v>
      </c>
      <c r="E289" s="15">
        <f>INDEX(monster!$H$2:$H$617,MATCH(skill!C289,monster!$A$2:$A$617,0))</f>
        <v>46.2</v>
      </c>
      <c r="F289" s="15">
        <f>INDEX(monster!$I$2:$I$617,MATCH(C289,monster!$A$2:$A$617,0))</f>
        <v>1.39</v>
      </c>
      <c r="G289" s="15" t="b">
        <f t="shared" si="15"/>
        <v>1</v>
      </c>
      <c r="H289" s="32">
        <v>1</v>
      </c>
      <c r="I289" s="15">
        <f>IF(H289&gt;0,HLOOKUP(R289/100,数值规划表!$B$37:$AA$39,3),1)</f>
        <v>2.8</v>
      </c>
      <c r="J289" s="31" t="s">
        <v>1625</v>
      </c>
      <c r="K289" s="15">
        <f>INDEX(数值规划表!$B$15:$B$18,MATCH(J289,攻击范围,0))</f>
        <v>1</v>
      </c>
      <c r="L289" s="30">
        <v>1</v>
      </c>
      <c r="M289" s="41">
        <v>0</v>
      </c>
      <c r="N289" s="15">
        <f t="shared" si="16"/>
        <v>129</v>
      </c>
      <c r="O289" s="15">
        <f t="shared" si="17"/>
        <v>3.89</v>
      </c>
      <c r="P289" s="15">
        <f>IF(G289,INDEX(monster!$J$2:$J$606,MATCH(skill!C289,monster!$A$2:$A$606,0)),Q289)</f>
        <v>1.2</v>
      </c>
      <c r="Q289" s="70"/>
      <c r="R289" s="33">
        <v>200</v>
      </c>
    </row>
    <row r="290" spans="1:18" s="38" customFormat="1" x14ac:dyDescent="0.15">
      <c r="A290" s="32">
        <v>10300</v>
      </c>
      <c r="B290" s="32" t="s">
        <v>774</v>
      </c>
      <c r="C290" s="32">
        <v>1208</v>
      </c>
      <c r="D290" s="32">
        <v>2</v>
      </c>
      <c r="E290" s="15">
        <f>INDEX(monster!$H$2:$H$617,MATCH(skill!C290,monster!$A$2:$A$617,0))</f>
        <v>51.74</v>
      </c>
      <c r="F290" s="15">
        <f>INDEX(monster!$I$2:$I$617,MATCH(C290,monster!$A$2:$A$617,0))</f>
        <v>1.55</v>
      </c>
      <c r="G290" s="15" t="b">
        <f t="shared" si="15"/>
        <v>1</v>
      </c>
      <c r="H290" s="32">
        <v>1</v>
      </c>
      <c r="I290" s="15">
        <f>IF(H290&gt;0,HLOOKUP(R290/100,数值规划表!$B$37:$AA$39,3),1)</f>
        <v>2.8</v>
      </c>
      <c r="J290" s="31" t="s">
        <v>1625</v>
      </c>
      <c r="K290" s="15">
        <f>INDEX(数值规划表!$B$15:$B$18,MATCH(J290,攻击范围,0))</f>
        <v>1</v>
      </c>
      <c r="L290" s="30">
        <v>1</v>
      </c>
      <c r="M290" s="41">
        <v>0</v>
      </c>
      <c r="N290" s="15">
        <f t="shared" si="16"/>
        <v>145</v>
      </c>
      <c r="O290" s="15">
        <f t="shared" si="17"/>
        <v>4.34</v>
      </c>
      <c r="P290" s="15">
        <f>IF(G290,INDEX(monster!$J$2:$J$606,MATCH(skill!C290,monster!$A$2:$A$606,0)),Q290)</f>
        <v>1.2</v>
      </c>
      <c r="Q290" s="70"/>
      <c r="R290" s="33">
        <v>200</v>
      </c>
    </row>
    <row r="291" spans="1:18" s="38" customFormat="1" x14ac:dyDescent="0.15">
      <c r="A291" s="32">
        <v>10301</v>
      </c>
      <c r="B291" s="32" t="s">
        <v>775</v>
      </c>
      <c r="C291" s="32">
        <v>1209</v>
      </c>
      <c r="D291" s="32">
        <v>3</v>
      </c>
      <c r="E291" s="15">
        <f>INDEX(monster!$H$2:$H$617,MATCH(skill!C291,monster!$A$2:$A$617,0))</f>
        <v>57.95</v>
      </c>
      <c r="F291" s="15">
        <f>INDEX(monster!$I$2:$I$617,MATCH(C291,monster!$A$2:$A$617,0))</f>
        <v>1.74</v>
      </c>
      <c r="G291" s="15" t="b">
        <f t="shared" si="15"/>
        <v>1</v>
      </c>
      <c r="H291" s="32">
        <v>1</v>
      </c>
      <c r="I291" s="15">
        <f>IF(H291&gt;0,HLOOKUP(R291/100,数值规划表!$B$37:$AA$39,3),1)</f>
        <v>2.8</v>
      </c>
      <c r="J291" s="31" t="s">
        <v>1625</v>
      </c>
      <c r="K291" s="15">
        <f>INDEX(数值规划表!$B$15:$B$18,MATCH(J291,攻击范围,0))</f>
        <v>1</v>
      </c>
      <c r="L291" s="30">
        <v>1</v>
      </c>
      <c r="M291" s="41">
        <v>0</v>
      </c>
      <c r="N291" s="15">
        <f t="shared" si="16"/>
        <v>162</v>
      </c>
      <c r="O291" s="15">
        <f t="shared" si="17"/>
        <v>4.87</v>
      </c>
      <c r="P291" s="15">
        <f>IF(G291,INDEX(monster!$J$2:$J$606,MATCH(skill!C291,monster!$A$2:$A$606,0)),Q291)</f>
        <v>1.2</v>
      </c>
      <c r="Q291" s="70"/>
      <c r="R291" s="33">
        <v>200</v>
      </c>
    </row>
    <row r="292" spans="1:18" s="38" customFormat="1" x14ac:dyDescent="0.15">
      <c r="A292" s="32">
        <v>10302</v>
      </c>
      <c r="B292" s="32" t="s">
        <v>776</v>
      </c>
      <c r="C292" s="32">
        <v>1210</v>
      </c>
      <c r="D292" s="32">
        <v>4</v>
      </c>
      <c r="E292" s="15">
        <f>INDEX(monster!$H$2:$H$617,MATCH(skill!C292,monster!$A$2:$A$617,0))</f>
        <v>64.91</v>
      </c>
      <c r="F292" s="15">
        <f>INDEX(monster!$I$2:$I$617,MATCH(C292,monster!$A$2:$A$617,0))</f>
        <v>1.95</v>
      </c>
      <c r="G292" s="15" t="b">
        <f t="shared" si="15"/>
        <v>1</v>
      </c>
      <c r="H292" s="32">
        <v>1</v>
      </c>
      <c r="I292" s="15">
        <f>IF(H292&gt;0,HLOOKUP(R292/100,数值规划表!$B$37:$AA$39,3),1)</f>
        <v>2.8</v>
      </c>
      <c r="J292" s="31" t="s">
        <v>1625</v>
      </c>
      <c r="K292" s="15">
        <f>INDEX(数值规划表!$B$15:$B$18,MATCH(J292,攻击范围,0))</f>
        <v>1</v>
      </c>
      <c r="L292" s="30">
        <v>1</v>
      </c>
      <c r="M292" s="41">
        <v>0</v>
      </c>
      <c r="N292" s="15">
        <f t="shared" si="16"/>
        <v>182</v>
      </c>
      <c r="O292" s="15">
        <f t="shared" si="17"/>
        <v>5.46</v>
      </c>
      <c r="P292" s="15">
        <f>IF(G292,INDEX(monster!$J$2:$J$606,MATCH(skill!C292,monster!$A$2:$A$606,0)),Q292)</f>
        <v>1.2</v>
      </c>
      <c r="Q292" s="70"/>
      <c r="R292" s="33">
        <v>200</v>
      </c>
    </row>
    <row r="293" spans="1:18" s="38" customFormat="1" x14ac:dyDescent="0.15">
      <c r="A293" s="32">
        <v>10303</v>
      </c>
      <c r="B293" s="32" t="s">
        <v>777</v>
      </c>
      <c r="C293" s="32">
        <v>1211</v>
      </c>
      <c r="D293" s="32">
        <v>5</v>
      </c>
      <c r="E293" s="15">
        <f>INDEX(monster!$H$2:$H$617,MATCH(skill!C293,monster!$A$2:$A$617,0))</f>
        <v>72.7</v>
      </c>
      <c r="F293" s="15">
        <f>INDEX(monster!$I$2:$I$617,MATCH(C293,monster!$A$2:$A$617,0))</f>
        <v>2.1800000000000002</v>
      </c>
      <c r="G293" s="15" t="b">
        <f t="shared" si="15"/>
        <v>1</v>
      </c>
      <c r="H293" s="32">
        <v>1</v>
      </c>
      <c r="I293" s="15">
        <f>IF(H293&gt;0,HLOOKUP(R293/100,数值规划表!$B$37:$AA$39,3),1)</f>
        <v>2.8</v>
      </c>
      <c r="J293" s="31" t="s">
        <v>1625</v>
      </c>
      <c r="K293" s="15">
        <f>INDEX(数值规划表!$B$15:$B$18,MATCH(J293,攻击范围,0))</f>
        <v>1</v>
      </c>
      <c r="L293" s="30">
        <v>1</v>
      </c>
      <c r="M293" s="41">
        <v>0</v>
      </c>
      <c r="N293" s="15">
        <f t="shared" si="16"/>
        <v>204</v>
      </c>
      <c r="O293" s="15">
        <f t="shared" si="17"/>
        <v>6.1</v>
      </c>
      <c r="P293" s="15">
        <f>IF(G293,INDEX(monster!$J$2:$J$606,MATCH(skill!C293,monster!$A$2:$A$606,0)),Q293)</f>
        <v>1.2</v>
      </c>
      <c r="Q293" s="70"/>
      <c r="R293" s="33">
        <v>200</v>
      </c>
    </row>
    <row r="294" spans="1:18" s="38" customFormat="1" x14ac:dyDescent="0.15">
      <c r="A294" s="32">
        <v>10304</v>
      </c>
      <c r="B294" s="32" t="s">
        <v>778</v>
      </c>
      <c r="C294" s="32">
        <v>1212</v>
      </c>
      <c r="D294" s="32">
        <v>6</v>
      </c>
      <c r="E294" s="15">
        <f>INDEX(monster!$H$2:$H$617,MATCH(skill!C294,monster!$A$2:$A$617,0))</f>
        <v>81.42</v>
      </c>
      <c r="F294" s="15">
        <f>INDEX(monster!$I$2:$I$617,MATCH(C294,monster!$A$2:$A$617,0))</f>
        <v>2.44</v>
      </c>
      <c r="G294" s="15" t="b">
        <f t="shared" si="15"/>
        <v>1</v>
      </c>
      <c r="H294" s="32">
        <v>1</v>
      </c>
      <c r="I294" s="15">
        <f>IF(H294&gt;0,HLOOKUP(R294/100,数值规划表!$B$37:$AA$39,3),1)</f>
        <v>2.8</v>
      </c>
      <c r="J294" s="31" t="s">
        <v>1625</v>
      </c>
      <c r="K294" s="15">
        <f>INDEX(数值规划表!$B$15:$B$18,MATCH(J294,攻击范围,0))</f>
        <v>1</v>
      </c>
      <c r="L294" s="30">
        <v>1</v>
      </c>
      <c r="M294" s="41">
        <v>0</v>
      </c>
      <c r="N294" s="15">
        <f t="shared" si="16"/>
        <v>228</v>
      </c>
      <c r="O294" s="15">
        <f t="shared" si="17"/>
        <v>6.83</v>
      </c>
      <c r="P294" s="15">
        <f>IF(G294,INDEX(monster!$J$2:$J$606,MATCH(skill!C294,monster!$A$2:$A$606,0)),Q294)</f>
        <v>1.2</v>
      </c>
      <c r="Q294" s="70"/>
      <c r="R294" s="33">
        <v>200</v>
      </c>
    </row>
    <row r="295" spans="1:18" s="38" customFormat="1" x14ac:dyDescent="0.15">
      <c r="A295" s="32">
        <v>10305</v>
      </c>
      <c r="B295" s="32" t="s">
        <v>779</v>
      </c>
      <c r="C295" s="32">
        <v>1213</v>
      </c>
      <c r="D295" s="32">
        <v>7</v>
      </c>
      <c r="E295" s="15">
        <f>INDEX(monster!$H$2:$H$617,MATCH(skill!C295,monster!$A$2:$A$617,0))</f>
        <v>91.19</v>
      </c>
      <c r="F295" s="15">
        <f>INDEX(monster!$I$2:$I$617,MATCH(C295,monster!$A$2:$A$617,0))</f>
        <v>2.74</v>
      </c>
      <c r="G295" s="15" t="b">
        <f t="shared" si="15"/>
        <v>1</v>
      </c>
      <c r="H295" s="32">
        <v>1</v>
      </c>
      <c r="I295" s="15">
        <f>IF(H295&gt;0,HLOOKUP(R295/100,数值规划表!$B$37:$AA$39,3),1)</f>
        <v>2.8</v>
      </c>
      <c r="J295" s="31" t="s">
        <v>1625</v>
      </c>
      <c r="K295" s="15">
        <f>INDEX(数值规划表!$B$15:$B$18,MATCH(J295,攻击范围,0))</f>
        <v>1</v>
      </c>
      <c r="L295" s="30">
        <v>1</v>
      </c>
      <c r="M295" s="41">
        <v>0</v>
      </c>
      <c r="N295" s="15">
        <f t="shared" si="16"/>
        <v>255</v>
      </c>
      <c r="O295" s="15">
        <f t="shared" si="17"/>
        <v>7.67</v>
      </c>
      <c r="P295" s="15">
        <f>IF(G295,INDEX(monster!$J$2:$J$606,MATCH(skill!C295,monster!$A$2:$A$606,0)),Q295)</f>
        <v>1.2</v>
      </c>
      <c r="Q295" s="70"/>
      <c r="R295" s="33">
        <v>200</v>
      </c>
    </row>
    <row r="296" spans="1:18" s="38" customFormat="1" x14ac:dyDescent="0.15">
      <c r="A296" s="32">
        <v>10306</v>
      </c>
      <c r="B296" s="32" t="s">
        <v>780</v>
      </c>
      <c r="C296" s="32">
        <v>1214</v>
      </c>
      <c r="D296" s="32">
        <v>8</v>
      </c>
      <c r="E296" s="15">
        <f>INDEX(monster!$H$2:$H$617,MATCH(skill!C296,monster!$A$2:$A$617,0))</f>
        <v>102.13</v>
      </c>
      <c r="F296" s="15">
        <f>INDEX(monster!$I$2:$I$617,MATCH(C296,monster!$A$2:$A$617,0))</f>
        <v>3.06</v>
      </c>
      <c r="G296" s="15" t="b">
        <f t="shared" si="15"/>
        <v>1</v>
      </c>
      <c r="H296" s="32">
        <v>1</v>
      </c>
      <c r="I296" s="15">
        <f>IF(H296&gt;0,HLOOKUP(R296/100,数值规划表!$B$37:$AA$39,3),1)</f>
        <v>2.8</v>
      </c>
      <c r="J296" s="31" t="s">
        <v>1625</v>
      </c>
      <c r="K296" s="15">
        <f>INDEX(数值规划表!$B$15:$B$18,MATCH(J296,攻击范围,0))</f>
        <v>1</v>
      </c>
      <c r="L296" s="30">
        <v>1</v>
      </c>
      <c r="M296" s="41">
        <v>0</v>
      </c>
      <c r="N296" s="15">
        <f t="shared" si="16"/>
        <v>286</v>
      </c>
      <c r="O296" s="15">
        <f t="shared" si="17"/>
        <v>8.57</v>
      </c>
      <c r="P296" s="15">
        <f>IF(G296,INDEX(monster!$J$2:$J$606,MATCH(skill!C296,monster!$A$2:$A$606,0)),Q296)</f>
        <v>1.2</v>
      </c>
      <c r="Q296" s="70"/>
      <c r="R296" s="33">
        <v>200</v>
      </c>
    </row>
    <row r="297" spans="1:18" s="38" customFormat="1" x14ac:dyDescent="0.15">
      <c r="A297" s="32">
        <v>10307</v>
      </c>
      <c r="B297" s="32" t="s">
        <v>781</v>
      </c>
      <c r="C297" s="32">
        <v>1215</v>
      </c>
      <c r="D297" s="32">
        <v>9</v>
      </c>
      <c r="E297" s="15">
        <f>INDEX(monster!$H$2:$H$617,MATCH(skill!C297,monster!$A$2:$A$617,0))</f>
        <v>114.39</v>
      </c>
      <c r="F297" s="15">
        <f>INDEX(monster!$I$2:$I$617,MATCH(C297,monster!$A$2:$A$617,0))</f>
        <v>3.43</v>
      </c>
      <c r="G297" s="15" t="b">
        <f t="shared" si="15"/>
        <v>1</v>
      </c>
      <c r="H297" s="32">
        <v>1</v>
      </c>
      <c r="I297" s="15">
        <f>IF(H297&gt;0,HLOOKUP(R297/100,数值规划表!$B$37:$AA$39,3),1)</f>
        <v>2.8</v>
      </c>
      <c r="J297" s="31" t="s">
        <v>1625</v>
      </c>
      <c r="K297" s="15">
        <f>INDEX(数值规划表!$B$15:$B$18,MATCH(J297,攻击范围,0))</f>
        <v>1</v>
      </c>
      <c r="L297" s="30">
        <v>1</v>
      </c>
      <c r="M297" s="41">
        <v>0</v>
      </c>
      <c r="N297" s="15">
        <f t="shared" si="16"/>
        <v>320</v>
      </c>
      <c r="O297" s="15">
        <f t="shared" si="17"/>
        <v>9.6</v>
      </c>
      <c r="P297" s="15">
        <f>IF(G297,INDEX(monster!$J$2:$J$606,MATCH(skill!C297,monster!$A$2:$A$606,0)),Q297)</f>
        <v>1.2</v>
      </c>
      <c r="Q297" s="70"/>
      <c r="R297" s="33">
        <v>200</v>
      </c>
    </row>
    <row r="298" spans="1:18" s="38" customFormat="1" x14ac:dyDescent="0.15">
      <c r="A298" s="32">
        <v>10308</v>
      </c>
      <c r="B298" s="32" t="s">
        <v>782</v>
      </c>
      <c r="C298" s="32">
        <v>1216</v>
      </c>
      <c r="D298" s="32">
        <v>10</v>
      </c>
      <c r="E298" s="15">
        <f>INDEX(monster!$H$2:$H$617,MATCH(skill!C298,monster!$A$2:$A$617,0))</f>
        <v>128.12</v>
      </c>
      <c r="F298" s="15">
        <f>INDEX(monster!$I$2:$I$617,MATCH(C298,monster!$A$2:$A$617,0))</f>
        <v>3.84</v>
      </c>
      <c r="G298" s="15" t="b">
        <f t="shared" si="15"/>
        <v>1</v>
      </c>
      <c r="H298" s="32">
        <v>1</v>
      </c>
      <c r="I298" s="15">
        <f>IF(H298&gt;0,HLOOKUP(R298/100,数值规划表!$B$37:$AA$39,3),1)</f>
        <v>2.8</v>
      </c>
      <c r="J298" s="31" t="s">
        <v>1625</v>
      </c>
      <c r="K298" s="15">
        <f>INDEX(数值规划表!$B$15:$B$18,MATCH(J298,攻击范围,0))</f>
        <v>1</v>
      </c>
      <c r="L298" s="30">
        <v>1</v>
      </c>
      <c r="M298" s="41">
        <v>0</v>
      </c>
      <c r="N298" s="15">
        <f t="shared" si="16"/>
        <v>359</v>
      </c>
      <c r="O298" s="15">
        <f t="shared" si="17"/>
        <v>10.75</v>
      </c>
      <c r="P298" s="15">
        <f>IF(G298,INDEX(monster!$J$2:$J$606,MATCH(skill!C298,monster!$A$2:$A$606,0)),Q298)</f>
        <v>1.2</v>
      </c>
      <c r="Q298" s="70"/>
      <c r="R298" s="33">
        <v>200</v>
      </c>
    </row>
    <row r="299" spans="1:18" s="38" customFormat="1" x14ac:dyDescent="0.15">
      <c r="A299" s="32">
        <v>10309</v>
      </c>
      <c r="B299" s="32" t="s">
        <v>2855</v>
      </c>
      <c r="C299" s="32">
        <v>1195</v>
      </c>
      <c r="D299" s="32">
        <v>0</v>
      </c>
      <c r="E299" s="15">
        <f>INDEX(数值规划表!$G$79:$G$89,$D299+1)</f>
        <v>310</v>
      </c>
      <c r="F299" s="15">
        <f>INDEX(数值规划表!$H$79:$H$89,$D299+1)</f>
        <v>9.2899999999999991</v>
      </c>
      <c r="G299" s="15" t="b">
        <f t="shared" si="15"/>
        <v>0</v>
      </c>
      <c r="H299" s="32">
        <v>0</v>
      </c>
      <c r="I299" s="15">
        <f>IF(H299&gt;0,HLOOKUP(R299/100,数值规划表!$B$37:$AA$39,3),1)</f>
        <v>1</v>
      </c>
      <c r="J299" s="31" t="s">
        <v>1628</v>
      </c>
      <c r="K299" s="15">
        <f>INDEX(数值规划表!$B$15:$B$18,MATCH(J299,攻击范围,0))</f>
        <v>0.5</v>
      </c>
      <c r="L299" s="30">
        <v>1.1000000000000001</v>
      </c>
      <c r="M299" s="41">
        <v>0</v>
      </c>
      <c r="N299" s="15">
        <f t="shared" si="16"/>
        <v>171</v>
      </c>
      <c r="O299" s="15">
        <f t="shared" si="17"/>
        <v>5.1100000000000003</v>
      </c>
      <c r="P299" s="15">
        <f>IF(G299,INDEX(monster!$J$2:$J$606,MATCH(skill!C299,monster!$A$2:$A$606,0)),Q299)</f>
        <v>10</v>
      </c>
      <c r="Q299" s="52">
        <v>10</v>
      </c>
      <c r="R299" s="33">
        <v>1500</v>
      </c>
    </row>
    <row r="300" spans="1:18" s="38" customFormat="1" x14ac:dyDescent="0.15">
      <c r="A300" s="32">
        <v>10310</v>
      </c>
      <c r="B300" s="32" t="s">
        <v>2856</v>
      </c>
      <c r="C300" s="32">
        <v>1196</v>
      </c>
      <c r="D300" s="32">
        <v>1</v>
      </c>
      <c r="E300" s="15">
        <f>INDEX(数值规划表!$G$79:$G$89,$D300+1)</f>
        <v>347</v>
      </c>
      <c r="F300" s="15">
        <f>INDEX(数值规划表!$H$79:$H$89,$D300+1)</f>
        <v>10.4</v>
      </c>
      <c r="G300" s="15" t="b">
        <f t="shared" si="15"/>
        <v>0</v>
      </c>
      <c r="H300" s="32">
        <v>0</v>
      </c>
      <c r="I300" s="15">
        <f>IF(H300&gt;0,HLOOKUP(R300/100,数值规划表!$B$37:$AA$39,3),1)</f>
        <v>1</v>
      </c>
      <c r="J300" s="31" t="s">
        <v>1628</v>
      </c>
      <c r="K300" s="15">
        <f>INDEX(数值规划表!$B$15:$B$18,MATCH(J300,攻击范围,0))</f>
        <v>0.5</v>
      </c>
      <c r="L300" s="70">
        <v>1.1000000000000001</v>
      </c>
      <c r="M300" s="41">
        <v>0</v>
      </c>
      <c r="N300" s="15">
        <f t="shared" si="16"/>
        <v>191</v>
      </c>
      <c r="O300" s="15">
        <f t="shared" si="17"/>
        <v>5.72</v>
      </c>
      <c r="P300" s="15">
        <f>IF(G300,INDEX(monster!$J$2:$J$606,MATCH(skill!C300,monster!$A$2:$A$606,0)),Q300)</f>
        <v>10</v>
      </c>
      <c r="Q300" s="52">
        <v>10</v>
      </c>
      <c r="R300" s="33">
        <v>1500</v>
      </c>
    </row>
    <row r="301" spans="1:18" s="38" customFormat="1" x14ac:dyDescent="0.15">
      <c r="A301" s="32">
        <v>10311</v>
      </c>
      <c r="B301" s="32" t="s">
        <v>783</v>
      </c>
      <c r="C301" s="32">
        <v>1197</v>
      </c>
      <c r="D301" s="32">
        <v>2</v>
      </c>
      <c r="E301" s="15">
        <f>INDEX(数值规划表!$G$79:$G$89,$D301+1)</f>
        <v>388</v>
      </c>
      <c r="F301" s="15">
        <f>INDEX(数值规划表!$H$79:$H$89,$D301+1)</f>
        <v>11.65</v>
      </c>
      <c r="G301" s="15" t="b">
        <f t="shared" si="15"/>
        <v>0</v>
      </c>
      <c r="H301" s="32">
        <v>0</v>
      </c>
      <c r="I301" s="15">
        <f>IF(H301&gt;0,HLOOKUP(R301/100,数值规划表!$B$37:$AA$39,3),1)</f>
        <v>1</v>
      </c>
      <c r="J301" s="31" t="s">
        <v>1628</v>
      </c>
      <c r="K301" s="15">
        <f>INDEX(数值规划表!$B$15:$B$18,MATCH(J301,攻击范围,0))</f>
        <v>0.5</v>
      </c>
      <c r="L301" s="70">
        <v>1.1000000000000001</v>
      </c>
      <c r="M301" s="41">
        <v>0</v>
      </c>
      <c r="N301" s="15">
        <f t="shared" si="16"/>
        <v>213</v>
      </c>
      <c r="O301" s="15">
        <f t="shared" si="17"/>
        <v>6.41</v>
      </c>
      <c r="P301" s="15">
        <f>IF(G301,INDEX(monster!$J$2:$J$606,MATCH(skill!C301,monster!$A$2:$A$606,0)),Q301)</f>
        <v>10</v>
      </c>
      <c r="Q301" s="52">
        <v>10</v>
      </c>
      <c r="R301" s="33">
        <v>1500</v>
      </c>
    </row>
    <row r="302" spans="1:18" s="38" customFormat="1" x14ac:dyDescent="0.15">
      <c r="A302" s="32">
        <v>10312</v>
      </c>
      <c r="B302" s="32" t="s">
        <v>784</v>
      </c>
      <c r="C302" s="32">
        <v>1198</v>
      </c>
      <c r="D302" s="32">
        <v>3</v>
      </c>
      <c r="E302" s="15">
        <f>INDEX(数值规划表!$G$79:$G$89,$D302+1)</f>
        <v>435</v>
      </c>
      <c r="F302" s="15">
        <f>INDEX(数值规划表!$H$79:$H$89,$D302+1)</f>
        <v>13.05</v>
      </c>
      <c r="G302" s="15" t="b">
        <f t="shared" si="15"/>
        <v>0</v>
      </c>
      <c r="H302" s="32">
        <v>0</v>
      </c>
      <c r="I302" s="15">
        <f>IF(H302&gt;0,HLOOKUP(R302/100,数值规划表!$B$37:$AA$39,3),1)</f>
        <v>1</v>
      </c>
      <c r="J302" s="31" t="s">
        <v>1628</v>
      </c>
      <c r="K302" s="15">
        <f>INDEX(数值规划表!$B$15:$B$18,MATCH(J302,攻击范围,0))</f>
        <v>0.5</v>
      </c>
      <c r="L302" s="70">
        <v>1.1000000000000001</v>
      </c>
      <c r="M302" s="41">
        <v>0</v>
      </c>
      <c r="N302" s="15">
        <f t="shared" si="16"/>
        <v>239</v>
      </c>
      <c r="O302" s="15">
        <f t="shared" si="17"/>
        <v>7.18</v>
      </c>
      <c r="P302" s="15">
        <f>IF(G302,INDEX(monster!$J$2:$J$606,MATCH(skill!C302,monster!$A$2:$A$606,0)),Q302)</f>
        <v>10</v>
      </c>
      <c r="Q302" s="52">
        <v>10</v>
      </c>
      <c r="R302" s="33">
        <v>1500</v>
      </c>
    </row>
    <row r="303" spans="1:18" s="38" customFormat="1" x14ac:dyDescent="0.15">
      <c r="A303" s="32">
        <v>10313</v>
      </c>
      <c r="B303" s="32" t="s">
        <v>785</v>
      </c>
      <c r="C303" s="32">
        <v>1199</v>
      </c>
      <c r="D303" s="32">
        <v>4</v>
      </c>
      <c r="E303" s="15">
        <f>INDEX(数值规划表!$G$79:$G$89,$D303+1)</f>
        <v>487</v>
      </c>
      <c r="F303" s="15">
        <f>INDEX(数值规划表!$H$79:$H$89,$D303+1)</f>
        <v>14.61</v>
      </c>
      <c r="G303" s="15" t="b">
        <f t="shared" si="15"/>
        <v>0</v>
      </c>
      <c r="H303" s="32">
        <v>0</v>
      </c>
      <c r="I303" s="15">
        <f>IF(H303&gt;0,HLOOKUP(R303/100,数值规划表!$B$37:$AA$39,3),1)</f>
        <v>1</v>
      </c>
      <c r="J303" s="31" t="s">
        <v>1628</v>
      </c>
      <c r="K303" s="15">
        <f>INDEX(数值规划表!$B$15:$B$18,MATCH(J303,攻击范围,0))</f>
        <v>0.5</v>
      </c>
      <c r="L303" s="70">
        <v>1.1000000000000001</v>
      </c>
      <c r="M303" s="41">
        <v>0</v>
      </c>
      <c r="N303" s="15">
        <f t="shared" si="16"/>
        <v>268</v>
      </c>
      <c r="O303" s="15">
        <f t="shared" si="17"/>
        <v>8.0399999999999991</v>
      </c>
      <c r="P303" s="15">
        <f>IF(G303,INDEX(monster!$J$2:$J$606,MATCH(skill!C303,monster!$A$2:$A$606,0)),Q303)</f>
        <v>10</v>
      </c>
      <c r="Q303" s="52">
        <v>10</v>
      </c>
      <c r="R303" s="33">
        <v>1500</v>
      </c>
    </row>
    <row r="304" spans="1:18" s="38" customFormat="1" x14ac:dyDescent="0.15">
      <c r="A304" s="32">
        <v>10314</v>
      </c>
      <c r="B304" s="32" t="s">
        <v>786</v>
      </c>
      <c r="C304" s="32">
        <v>1200</v>
      </c>
      <c r="D304" s="32">
        <v>5</v>
      </c>
      <c r="E304" s="15">
        <f>INDEX(数值规划表!$G$79:$G$89,$D304+1)</f>
        <v>546</v>
      </c>
      <c r="F304" s="15">
        <f>INDEX(数值规划表!$H$79:$H$89,$D304+1)</f>
        <v>16.37</v>
      </c>
      <c r="G304" s="15" t="b">
        <f t="shared" si="15"/>
        <v>0</v>
      </c>
      <c r="H304" s="32">
        <v>0</v>
      </c>
      <c r="I304" s="15">
        <f>IF(H304&gt;0,HLOOKUP(R304/100,数值规划表!$B$37:$AA$39,3),1)</f>
        <v>1</v>
      </c>
      <c r="J304" s="31" t="s">
        <v>1628</v>
      </c>
      <c r="K304" s="15">
        <f>INDEX(数值规划表!$B$15:$B$18,MATCH(J304,攻击范围,0))</f>
        <v>0.5</v>
      </c>
      <c r="L304" s="70">
        <v>1.1000000000000001</v>
      </c>
      <c r="M304" s="41">
        <v>0</v>
      </c>
      <c r="N304" s="15">
        <f t="shared" si="16"/>
        <v>300</v>
      </c>
      <c r="O304" s="15">
        <f t="shared" si="17"/>
        <v>9</v>
      </c>
      <c r="P304" s="15">
        <f>IF(G304,INDEX(monster!$J$2:$J$606,MATCH(skill!C304,monster!$A$2:$A$606,0)),Q304)</f>
        <v>10</v>
      </c>
      <c r="Q304" s="52">
        <v>10</v>
      </c>
      <c r="R304" s="33">
        <v>1500</v>
      </c>
    </row>
    <row r="305" spans="1:18" s="38" customFormat="1" x14ac:dyDescent="0.15">
      <c r="A305" s="32">
        <v>10315</v>
      </c>
      <c r="B305" s="32" t="s">
        <v>787</v>
      </c>
      <c r="C305" s="32">
        <v>1201</v>
      </c>
      <c r="D305" s="32">
        <v>6</v>
      </c>
      <c r="E305" s="15">
        <f>INDEX(数值规划表!$G$79:$G$89,$D305+1)</f>
        <v>611</v>
      </c>
      <c r="F305" s="15">
        <f>INDEX(数值规划表!$H$79:$H$89,$D305+1)</f>
        <v>18.329999999999998</v>
      </c>
      <c r="G305" s="15" t="b">
        <f t="shared" si="15"/>
        <v>0</v>
      </c>
      <c r="H305" s="32">
        <v>0</v>
      </c>
      <c r="I305" s="15">
        <f>IF(H305&gt;0,HLOOKUP(R305/100,数值规划表!$B$37:$AA$39,3),1)</f>
        <v>1</v>
      </c>
      <c r="J305" s="31" t="s">
        <v>1628</v>
      </c>
      <c r="K305" s="15">
        <f>INDEX(数值规划表!$B$15:$B$18,MATCH(J305,攻击范围,0))</f>
        <v>0.5</v>
      </c>
      <c r="L305" s="70">
        <v>1.1000000000000001</v>
      </c>
      <c r="M305" s="70">
        <v>0</v>
      </c>
      <c r="N305" s="15">
        <f t="shared" si="16"/>
        <v>336</v>
      </c>
      <c r="O305" s="15">
        <f t="shared" si="17"/>
        <v>10.08</v>
      </c>
      <c r="P305" s="15">
        <f>IF(G305,INDEX(monster!$J$2:$J$606,MATCH(skill!C305,monster!$A$2:$A$606,0)),Q305)</f>
        <v>10</v>
      </c>
      <c r="Q305" s="52">
        <v>10</v>
      </c>
      <c r="R305" s="33">
        <v>1500</v>
      </c>
    </row>
    <row r="306" spans="1:18" s="38" customFormat="1" x14ac:dyDescent="0.15">
      <c r="A306" s="32">
        <v>10316</v>
      </c>
      <c r="B306" s="32" t="s">
        <v>788</v>
      </c>
      <c r="C306" s="32">
        <v>1202</v>
      </c>
      <c r="D306" s="32">
        <v>7</v>
      </c>
      <c r="E306" s="15">
        <f>INDEX(数值规划表!$G$79:$G$89,$D306+1)</f>
        <v>684</v>
      </c>
      <c r="F306" s="15">
        <f>INDEX(数值规划表!$H$79:$H$89,$D306+1)</f>
        <v>20.53</v>
      </c>
      <c r="G306" s="15" t="b">
        <f t="shared" si="15"/>
        <v>0</v>
      </c>
      <c r="H306" s="32">
        <v>0</v>
      </c>
      <c r="I306" s="15">
        <f>IF(H306&gt;0,HLOOKUP(R306/100,数值规划表!$B$37:$AA$39,3),1)</f>
        <v>1</v>
      </c>
      <c r="J306" s="31" t="s">
        <v>1628</v>
      </c>
      <c r="K306" s="15">
        <f>INDEX(数值规划表!$B$15:$B$18,MATCH(J306,攻击范围,0))</f>
        <v>0.5</v>
      </c>
      <c r="L306" s="70">
        <v>1.1000000000000001</v>
      </c>
      <c r="M306" s="41">
        <v>0</v>
      </c>
      <c r="N306" s="15">
        <f t="shared" si="16"/>
        <v>376</v>
      </c>
      <c r="O306" s="15">
        <f t="shared" si="17"/>
        <v>11.29</v>
      </c>
      <c r="P306" s="15">
        <f>IF(G306,INDEX(monster!$J$2:$J$606,MATCH(skill!C306,monster!$A$2:$A$606,0)),Q306)</f>
        <v>10</v>
      </c>
      <c r="Q306" s="52">
        <v>10</v>
      </c>
      <c r="R306" s="33">
        <v>1500</v>
      </c>
    </row>
    <row r="307" spans="1:18" s="38" customFormat="1" x14ac:dyDescent="0.15">
      <c r="A307" s="32">
        <v>10317</v>
      </c>
      <c r="B307" s="32" t="s">
        <v>789</v>
      </c>
      <c r="C307" s="32">
        <v>1203</v>
      </c>
      <c r="D307" s="32">
        <v>8</v>
      </c>
      <c r="E307" s="15">
        <f>INDEX(数值规划表!$G$79:$G$89,$D307+1)</f>
        <v>766</v>
      </c>
      <c r="F307" s="15">
        <f>INDEX(数值规划表!$H$79:$H$89,$D307+1)</f>
        <v>22.99</v>
      </c>
      <c r="G307" s="15" t="b">
        <f t="shared" si="15"/>
        <v>0</v>
      </c>
      <c r="H307" s="32">
        <v>0</v>
      </c>
      <c r="I307" s="15">
        <f>IF(H307&gt;0,HLOOKUP(R307/100,数值规划表!$B$37:$AA$39,3),1)</f>
        <v>1</v>
      </c>
      <c r="J307" s="31" t="s">
        <v>1628</v>
      </c>
      <c r="K307" s="15">
        <f>INDEX(数值规划表!$B$15:$B$18,MATCH(J307,攻击范围,0))</f>
        <v>0.5</v>
      </c>
      <c r="L307" s="70">
        <v>1.1000000000000001</v>
      </c>
      <c r="M307" s="41">
        <v>0</v>
      </c>
      <c r="N307" s="15">
        <f t="shared" si="16"/>
        <v>421</v>
      </c>
      <c r="O307" s="15">
        <f t="shared" si="17"/>
        <v>12.64</v>
      </c>
      <c r="P307" s="15">
        <f>IF(G307,INDEX(monster!$J$2:$J$606,MATCH(skill!C307,monster!$A$2:$A$606,0)),Q307)</f>
        <v>10</v>
      </c>
      <c r="Q307" s="52">
        <v>10</v>
      </c>
      <c r="R307" s="33">
        <v>1500</v>
      </c>
    </row>
    <row r="308" spans="1:18" s="38" customFormat="1" x14ac:dyDescent="0.15">
      <c r="A308" s="32">
        <v>10318</v>
      </c>
      <c r="B308" s="32" t="s">
        <v>790</v>
      </c>
      <c r="C308" s="32">
        <v>1204</v>
      </c>
      <c r="D308" s="32">
        <v>9</v>
      </c>
      <c r="E308" s="15">
        <f>INDEX(数值规划表!$G$79:$G$89,$D308+1)</f>
        <v>858</v>
      </c>
      <c r="F308" s="15">
        <f>INDEX(数值规划表!$H$79:$H$89,$D308+1)</f>
        <v>25.75</v>
      </c>
      <c r="G308" s="15" t="b">
        <f t="shared" si="15"/>
        <v>0</v>
      </c>
      <c r="H308" s="32">
        <v>0</v>
      </c>
      <c r="I308" s="15">
        <f>IF(H308&gt;0,HLOOKUP(R308/100,数值规划表!$B$37:$AA$39,3),1)</f>
        <v>1</v>
      </c>
      <c r="J308" s="31" t="s">
        <v>1628</v>
      </c>
      <c r="K308" s="15">
        <f>INDEX(数值规划表!$B$15:$B$18,MATCH(J308,攻击范围,0))</f>
        <v>0.5</v>
      </c>
      <c r="L308" s="70">
        <v>1.1000000000000001</v>
      </c>
      <c r="M308" s="41">
        <v>0</v>
      </c>
      <c r="N308" s="15">
        <f t="shared" si="16"/>
        <v>472</v>
      </c>
      <c r="O308" s="15">
        <f t="shared" si="17"/>
        <v>14.16</v>
      </c>
      <c r="P308" s="15">
        <f>IF(G308,INDEX(monster!$J$2:$J$606,MATCH(skill!C308,monster!$A$2:$A$606,0)),Q308)</f>
        <v>10</v>
      </c>
      <c r="Q308" s="52">
        <v>10</v>
      </c>
      <c r="R308" s="33">
        <v>1500</v>
      </c>
    </row>
    <row r="309" spans="1:18" s="38" customFormat="1" x14ac:dyDescent="0.15">
      <c r="A309" s="32">
        <v>10319</v>
      </c>
      <c r="B309" s="32" t="s">
        <v>791</v>
      </c>
      <c r="C309" s="32">
        <v>1205</v>
      </c>
      <c r="D309" s="32">
        <v>10</v>
      </c>
      <c r="E309" s="15">
        <f>INDEX(数值规划表!$G$79:$G$89,$D309+1)</f>
        <v>961</v>
      </c>
      <c r="F309" s="15">
        <f>INDEX(数值规划表!$H$79:$H$89,$D309+1)</f>
        <v>28.84</v>
      </c>
      <c r="G309" s="15" t="b">
        <f t="shared" si="15"/>
        <v>0</v>
      </c>
      <c r="H309" s="32">
        <v>0</v>
      </c>
      <c r="I309" s="15">
        <f>IF(H309&gt;0,HLOOKUP(R309/100,数值规划表!$B$37:$AA$39,3),1)</f>
        <v>1</v>
      </c>
      <c r="J309" s="31" t="s">
        <v>1628</v>
      </c>
      <c r="K309" s="15">
        <f>INDEX(数值规划表!$B$15:$B$18,MATCH(J309,攻击范围,0))</f>
        <v>0.5</v>
      </c>
      <c r="L309" s="70">
        <v>1.1000000000000001</v>
      </c>
      <c r="M309" s="41">
        <v>0</v>
      </c>
      <c r="N309" s="15">
        <f t="shared" si="16"/>
        <v>529</v>
      </c>
      <c r="O309" s="15">
        <f t="shared" si="17"/>
        <v>15.86</v>
      </c>
      <c r="P309" s="15">
        <f>IF(G309,INDEX(monster!$J$2:$J$606,MATCH(skill!C309,monster!$A$2:$A$606,0)),Q309)</f>
        <v>10</v>
      </c>
      <c r="Q309" s="52">
        <v>10</v>
      </c>
      <c r="R309" s="33">
        <v>1500</v>
      </c>
    </row>
    <row r="310" spans="1:18" s="38" customFormat="1" x14ac:dyDescent="0.15">
      <c r="A310" s="32">
        <v>10320</v>
      </c>
      <c r="B310" s="32" t="s">
        <v>2857</v>
      </c>
      <c r="C310" s="32">
        <v>1206</v>
      </c>
      <c r="D310" s="32">
        <v>0</v>
      </c>
      <c r="E310" s="15">
        <f>INDEX(monster!$H$2:$H$617,MATCH(skill!C310,monster!$A$2:$A$617,0))</f>
        <v>41.25</v>
      </c>
      <c r="F310" s="15">
        <f>INDEX(monster!$I$2:$I$617,MATCH(C310,monster!$A$2:$A$617,0))</f>
        <v>1.24</v>
      </c>
      <c r="G310" s="15" t="b">
        <f t="shared" si="15"/>
        <v>0</v>
      </c>
      <c r="H310" s="32">
        <v>0</v>
      </c>
      <c r="I310" s="15">
        <f>IF(H310&gt;0,HLOOKUP(R310/100,数值规划表!$B$37:$AA$39,3),1)</f>
        <v>1</v>
      </c>
      <c r="J310" s="31" t="s">
        <v>1672</v>
      </c>
      <c r="K310" s="15">
        <f>INDEX(数值规划表!$B$15:$B$18,MATCH(J310,攻击范围,0))</f>
        <v>0</v>
      </c>
      <c r="L310" s="30">
        <v>1</v>
      </c>
      <c r="M310" s="41">
        <v>0</v>
      </c>
      <c r="N310" s="15">
        <f t="shared" si="16"/>
        <v>0</v>
      </c>
      <c r="O310" s="15">
        <f t="shared" si="17"/>
        <v>0</v>
      </c>
      <c r="P310" s="15">
        <f>IF(G310,INDEX(monster!$J$2:$J$606,MATCH(skill!C310,monster!$A$2:$A$606,0)),Q310)</f>
        <v>8</v>
      </c>
      <c r="Q310" s="52">
        <v>8</v>
      </c>
      <c r="R310" s="33">
        <v>1500</v>
      </c>
    </row>
    <row r="311" spans="1:18" s="38" customFormat="1" x14ac:dyDescent="0.15">
      <c r="A311" s="32">
        <v>10321</v>
      </c>
      <c r="B311" s="32" t="s">
        <v>2858</v>
      </c>
      <c r="C311" s="32">
        <v>1207</v>
      </c>
      <c r="D311" s="32">
        <v>1</v>
      </c>
      <c r="E311" s="15">
        <f>INDEX(monster!$H$2:$H$617,MATCH(skill!C311,monster!$A$2:$A$617,0))</f>
        <v>46.2</v>
      </c>
      <c r="F311" s="15">
        <f>INDEX(monster!$I$2:$I$617,MATCH(C311,monster!$A$2:$A$617,0))</f>
        <v>1.39</v>
      </c>
      <c r="G311" s="15" t="b">
        <f t="shared" ref="G311:G364" si="18">ISNUMBER(FIND("普攻",B311))</f>
        <v>0</v>
      </c>
      <c r="H311" s="32">
        <v>0</v>
      </c>
      <c r="I311" s="15">
        <f>IF(H311&gt;0,HLOOKUP(R311/100,数值规划表!$B$37:$AA$39,3),1)</f>
        <v>1</v>
      </c>
      <c r="J311" s="31" t="s">
        <v>1672</v>
      </c>
      <c r="K311" s="15">
        <f>INDEX(数值规划表!$B$15:$B$18,MATCH(J311,攻击范围,0))</f>
        <v>0</v>
      </c>
      <c r="L311" s="30">
        <v>1</v>
      </c>
      <c r="M311" s="41">
        <v>0</v>
      </c>
      <c r="N311" s="15">
        <f t="shared" si="16"/>
        <v>0</v>
      </c>
      <c r="O311" s="15">
        <f t="shared" si="17"/>
        <v>0</v>
      </c>
      <c r="P311" s="15">
        <f>IF(G311,INDEX(monster!$J$2:$J$606,MATCH(skill!C311,monster!$A$2:$A$606,0)),Q311)</f>
        <v>8</v>
      </c>
      <c r="Q311" s="52">
        <v>8</v>
      </c>
      <c r="R311" s="33">
        <v>1500</v>
      </c>
    </row>
    <row r="312" spans="1:18" s="38" customFormat="1" x14ac:dyDescent="0.15">
      <c r="A312" s="32">
        <v>10322</v>
      </c>
      <c r="B312" s="32" t="s">
        <v>792</v>
      </c>
      <c r="C312" s="32">
        <v>1208</v>
      </c>
      <c r="D312" s="32">
        <v>2</v>
      </c>
      <c r="E312" s="15">
        <f>INDEX(monster!$H$2:$H$617,MATCH(skill!C312,monster!$A$2:$A$617,0))</f>
        <v>51.74</v>
      </c>
      <c r="F312" s="15">
        <f>INDEX(monster!$I$2:$I$617,MATCH(C312,monster!$A$2:$A$617,0))</f>
        <v>1.55</v>
      </c>
      <c r="G312" s="15" t="b">
        <f t="shared" si="18"/>
        <v>0</v>
      </c>
      <c r="H312" s="32">
        <v>0</v>
      </c>
      <c r="I312" s="15">
        <f>IF(H312&gt;0,HLOOKUP(R312/100,数值规划表!$B$37:$AA$39,3),1)</f>
        <v>1</v>
      </c>
      <c r="J312" s="31" t="s">
        <v>1672</v>
      </c>
      <c r="K312" s="15">
        <f>INDEX(数值规划表!$B$15:$B$18,MATCH(J312,攻击范围,0))</f>
        <v>0</v>
      </c>
      <c r="L312" s="30">
        <v>1</v>
      </c>
      <c r="M312" s="41">
        <v>0</v>
      </c>
      <c r="N312" s="15">
        <f t="shared" si="16"/>
        <v>0</v>
      </c>
      <c r="O312" s="15">
        <f t="shared" si="17"/>
        <v>0</v>
      </c>
      <c r="P312" s="15">
        <f>IF(G312,INDEX(monster!$J$2:$J$606,MATCH(skill!C312,monster!$A$2:$A$606,0)),Q312)</f>
        <v>8</v>
      </c>
      <c r="Q312" s="52">
        <v>8</v>
      </c>
      <c r="R312" s="33">
        <v>1500</v>
      </c>
    </row>
    <row r="313" spans="1:18" s="38" customFormat="1" x14ac:dyDescent="0.15">
      <c r="A313" s="32">
        <v>10323</v>
      </c>
      <c r="B313" s="32" t="s">
        <v>793</v>
      </c>
      <c r="C313" s="32">
        <v>1209</v>
      </c>
      <c r="D313" s="32">
        <v>3</v>
      </c>
      <c r="E313" s="15">
        <f>INDEX(monster!$H$2:$H$617,MATCH(skill!C313,monster!$A$2:$A$617,0))</f>
        <v>57.95</v>
      </c>
      <c r="F313" s="15">
        <f>INDEX(monster!$I$2:$I$617,MATCH(C313,monster!$A$2:$A$617,0))</f>
        <v>1.74</v>
      </c>
      <c r="G313" s="15" t="b">
        <f t="shared" si="18"/>
        <v>0</v>
      </c>
      <c r="H313" s="32">
        <v>0</v>
      </c>
      <c r="I313" s="15">
        <f>IF(H313&gt;0,HLOOKUP(R313/100,数值规划表!$B$37:$AA$39,3),1)</f>
        <v>1</v>
      </c>
      <c r="J313" s="31" t="s">
        <v>1672</v>
      </c>
      <c r="K313" s="15">
        <f>INDEX(数值规划表!$B$15:$B$18,MATCH(J313,攻击范围,0))</f>
        <v>0</v>
      </c>
      <c r="L313" s="30">
        <v>1</v>
      </c>
      <c r="M313" s="41">
        <v>0</v>
      </c>
      <c r="N313" s="15">
        <f t="shared" si="16"/>
        <v>0</v>
      </c>
      <c r="O313" s="15">
        <f t="shared" si="17"/>
        <v>0</v>
      </c>
      <c r="P313" s="15">
        <f>IF(G313,INDEX(monster!$J$2:$J$606,MATCH(skill!C313,monster!$A$2:$A$606,0)),Q313)</f>
        <v>8</v>
      </c>
      <c r="Q313" s="52">
        <v>8</v>
      </c>
      <c r="R313" s="33">
        <v>1500</v>
      </c>
    </row>
    <row r="314" spans="1:18" s="38" customFormat="1" x14ac:dyDescent="0.15">
      <c r="A314" s="32">
        <v>10324</v>
      </c>
      <c r="B314" s="32" t="s">
        <v>794</v>
      </c>
      <c r="C314" s="32">
        <v>1210</v>
      </c>
      <c r="D314" s="32">
        <v>4</v>
      </c>
      <c r="E314" s="15">
        <f>INDEX(monster!$H$2:$H$617,MATCH(skill!C314,monster!$A$2:$A$617,0))</f>
        <v>64.91</v>
      </c>
      <c r="F314" s="15">
        <f>INDEX(monster!$I$2:$I$617,MATCH(C314,monster!$A$2:$A$617,0))</f>
        <v>1.95</v>
      </c>
      <c r="G314" s="15" t="b">
        <f t="shared" si="18"/>
        <v>0</v>
      </c>
      <c r="H314" s="32">
        <v>0</v>
      </c>
      <c r="I314" s="15">
        <f>IF(H314&gt;0,HLOOKUP(R314/100,数值规划表!$B$37:$AA$39,3),1)</f>
        <v>1</v>
      </c>
      <c r="J314" s="31" t="s">
        <v>1672</v>
      </c>
      <c r="K314" s="15">
        <f>INDEX(数值规划表!$B$15:$B$18,MATCH(J314,攻击范围,0))</f>
        <v>0</v>
      </c>
      <c r="L314" s="30">
        <v>1</v>
      </c>
      <c r="M314" s="41">
        <v>0</v>
      </c>
      <c r="N314" s="15">
        <f t="shared" si="16"/>
        <v>0</v>
      </c>
      <c r="O314" s="15">
        <f t="shared" si="17"/>
        <v>0</v>
      </c>
      <c r="P314" s="15">
        <f>IF(G314,INDEX(monster!$J$2:$J$606,MATCH(skill!C314,monster!$A$2:$A$606,0)),Q314)</f>
        <v>8</v>
      </c>
      <c r="Q314" s="52">
        <v>8</v>
      </c>
      <c r="R314" s="33">
        <v>1500</v>
      </c>
    </row>
    <row r="315" spans="1:18" s="38" customFormat="1" x14ac:dyDescent="0.15">
      <c r="A315" s="32">
        <v>10325</v>
      </c>
      <c r="B315" s="32" t="s">
        <v>795</v>
      </c>
      <c r="C315" s="32">
        <v>1211</v>
      </c>
      <c r="D315" s="32">
        <v>5</v>
      </c>
      <c r="E315" s="15">
        <f>INDEX(monster!$H$2:$H$617,MATCH(skill!C315,monster!$A$2:$A$617,0))</f>
        <v>72.7</v>
      </c>
      <c r="F315" s="15">
        <f>INDEX(monster!$I$2:$I$617,MATCH(C315,monster!$A$2:$A$617,0))</f>
        <v>2.1800000000000002</v>
      </c>
      <c r="G315" s="15" t="b">
        <f t="shared" si="18"/>
        <v>0</v>
      </c>
      <c r="H315" s="32">
        <v>0</v>
      </c>
      <c r="I315" s="15">
        <f>IF(H315&gt;0,HLOOKUP(R315/100,数值规划表!$B$37:$AA$39,3),1)</f>
        <v>1</v>
      </c>
      <c r="J315" s="31" t="s">
        <v>1672</v>
      </c>
      <c r="K315" s="15">
        <f>INDEX(数值规划表!$B$15:$B$18,MATCH(J315,攻击范围,0))</f>
        <v>0</v>
      </c>
      <c r="L315" s="30">
        <v>1</v>
      </c>
      <c r="M315" s="41">
        <v>0</v>
      </c>
      <c r="N315" s="15">
        <f t="shared" si="16"/>
        <v>0</v>
      </c>
      <c r="O315" s="15">
        <f t="shared" si="17"/>
        <v>0</v>
      </c>
      <c r="P315" s="15">
        <f>IF(G315,INDEX(monster!$J$2:$J$606,MATCH(skill!C315,monster!$A$2:$A$606,0)),Q315)</f>
        <v>8</v>
      </c>
      <c r="Q315" s="52">
        <v>8</v>
      </c>
      <c r="R315" s="33">
        <v>1500</v>
      </c>
    </row>
    <row r="316" spans="1:18" s="38" customFormat="1" x14ac:dyDescent="0.15">
      <c r="A316" s="32">
        <v>10326</v>
      </c>
      <c r="B316" s="32" t="s">
        <v>796</v>
      </c>
      <c r="C316" s="32">
        <v>1212</v>
      </c>
      <c r="D316" s="32">
        <v>6</v>
      </c>
      <c r="E316" s="15">
        <f>INDEX(monster!$H$2:$H$617,MATCH(skill!C316,monster!$A$2:$A$617,0))</f>
        <v>81.42</v>
      </c>
      <c r="F316" s="15">
        <f>INDEX(monster!$I$2:$I$617,MATCH(C316,monster!$A$2:$A$617,0))</f>
        <v>2.44</v>
      </c>
      <c r="G316" s="15" t="b">
        <f t="shared" si="18"/>
        <v>0</v>
      </c>
      <c r="H316" s="32">
        <v>0</v>
      </c>
      <c r="I316" s="15">
        <f>IF(H316&gt;0,HLOOKUP(R316/100,数值规划表!$B$37:$AA$39,3),1)</f>
        <v>1</v>
      </c>
      <c r="J316" s="31" t="s">
        <v>1672</v>
      </c>
      <c r="K316" s="15">
        <f>INDEX(数值规划表!$B$15:$B$18,MATCH(J316,攻击范围,0))</f>
        <v>0</v>
      </c>
      <c r="L316" s="30">
        <v>1</v>
      </c>
      <c r="M316" s="41">
        <v>0</v>
      </c>
      <c r="N316" s="15">
        <f t="shared" si="16"/>
        <v>0</v>
      </c>
      <c r="O316" s="15">
        <f t="shared" si="17"/>
        <v>0</v>
      </c>
      <c r="P316" s="15">
        <f>IF(G316,INDEX(monster!$J$2:$J$606,MATCH(skill!C316,monster!$A$2:$A$606,0)),Q316)</f>
        <v>8</v>
      </c>
      <c r="Q316" s="52">
        <v>8</v>
      </c>
      <c r="R316" s="33">
        <v>1500</v>
      </c>
    </row>
    <row r="317" spans="1:18" s="38" customFormat="1" x14ac:dyDescent="0.15">
      <c r="A317" s="32">
        <v>10327</v>
      </c>
      <c r="B317" s="32" t="s">
        <v>797</v>
      </c>
      <c r="C317" s="32">
        <v>1213</v>
      </c>
      <c r="D317" s="32">
        <v>7</v>
      </c>
      <c r="E317" s="15">
        <f>INDEX(monster!$H$2:$H$617,MATCH(skill!C317,monster!$A$2:$A$617,0))</f>
        <v>91.19</v>
      </c>
      <c r="F317" s="15">
        <f>INDEX(monster!$I$2:$I$617,MATCH(C317,monster!$A$2:$A$617,0))</f>
        <v>2.74</v>
      </c>
      <c r="G317" s="15" t="b">
        <f t="shared" si="18"/>
        <v>0</v>
      </c>
      <c r="H317" s="32">
        <v>0</v>
      </c>
      <c r="I317" s="15">
        <f>IF(H317&gt;0,HLOOKUP(R317/100,数值规划表!$B$37:$AA$39,3),1)</f>
        <v>1</v>
      </c>
      <c r="J317" s="31" t="s">
        <v>1672</v>
      </c>
      <c r="K317" s="15">
        <f>INDEX(数值规划表!$B$15:$B$18,MATCH(J317,攻击范围,0))</f>
        <v>0</v>
      </c>
      <c r="L317" s="30">
        <v>1</v>
      </c>
      <c r="M317" s="41">
        <v>0</v>
      </c>
      <c r="N317" s="15">
        <f t="shared" si="16"/>
        <v>0</v>
      </c>
      <c r="O317" s="15">
        <f t="shared" si="17"/>
        <v>0</v>
      </c>
      <c r="P317" s="15">
        <f>IF(G317,INDEX(monster!$J$2:$J$606,MATCH(skill!C317,monster!$A$2:$A$606,0)),Q317)</f>
        <v>8</v>
      </c>
      <c r="Q317" s="52">
        <v>8</v>
      </c>
      <c r="R317" s="33">
        <v>1500</v>
      </c>
    </row>
    <row r="318" spans="1:18" s="38" customFormat="1" x14ac:dyDescent="0.15">
      <c r="A318" s="32">
        <v>10328</v>
      </c>
      <c r="B318" s="32" t="s">
        <v>798</v>
      </c>
      <c r="C318" s="32">
        <v>1214</v>
      </c>
      <c r="D318" s="32">
        <v>8</v>
      </c>
      <c r="E318" s="15">
        <f>INDEX(monster!$H$2:$H$617,MATCH(skill!C318,monster!$A$2:$A$617,0))</f>
        <v>102.13</v>
      </c>
      <c r="F318" s="15">
        <f>INDEX(monster!$I$2:$I$617,MATCH(C318,monster!$A$2:$A$617,0))</f>
        <v>3.06</v>
      </c>
      <c r="G318" s="15" t="b">
        <f t="shared" si="18"/>
        <v>0</v>
      </c>
      <c r="H318" s="32">
        <v>0</v>
      </c>
      <c r="I318" s="15">
        <f>IF(H318&gt;0,HLOOKUP(R318/100,数值规划表!$B$37:$AA$39,3),1)</f>
        <v>1</v>
      </c>
      <c r="J318" s="31" t="s">
        <v>1672</v>
      </c>
      <c r="K318" s="15">
        <f>INDEX(数值规划表!$B$15:$B$18,MATCH(J318,攻击范围,0))</f>
        <v>0</v>
      </c>
      <c r="L318" s="30">
        <v>1</v>
      </c>
      <c r="M318" s="41">
        <v>0</v>
      </c>
      <c r="N318" s="15">
        <f t="shared" si="16"/>
        <v>0</v>
      </c>
      <c r="O318" s="15">
        <f t="shared" si="17"/>
        <v>0</v>
      </c>
      <c r="P318" s="15">
        <f>IF(G318,INDEX(monster!$J$2:$J$606,MATCH(skill!C318,monster!$A$2:$A$606,0)),Q318)</f>
        <v>8</v>
      </c>
      <c r="Q318" s="52">
        <v>8</v>
      </c>
      <c r="R318" s="33">
        <v>1500</v>
      </c>
    </row>
    <row r="319" spans="1:18" s="38" customFormat="1" x14ac:dyDescent="0.15">
      <c r="A319" s="32">
        <v>10329</v>
      </c>
      <c r="B319" s="32" t="s">
        <v>799</v>
      </c>
      <c r="C319" s="32">
        <v>1215</v>
      </c>
      <c r="D319" s="32">
        <v>9</v>
      </c>
      <c r="E319" s="15">
        <f>INDEX(monster!$H$2:$H$617,MATCH(skill!C319,monster!$A$2:$A$617,0))</f>
        <v>114.39</v>
      </c>
      <c r="F319" s="15">
        <f>INDEX(monster!$I$2:$I$617,MATCH(C319,monster!$A$2:$A$617,0))</f>
        <v>3.43</v>
      </c>
      <c r="G319" s="15" t="b">
        <f t="shared" si="18"/>
        <v>0</v>
      </c>
      <c r="H319" s="32">
        <v>0</v>
      </c>
      <c r="I319" s="15">
        <f>IF(H319&gt;0,HLOOKUP(R319/100,数值规划表!$B$37:$AA$39,3),1)</f>
        <v>1</v>
      </c>
      <c r="J319" s="31" t="s">
        <v>1672</v>
      </c>
      <c r="K319" s="15">
        <f>INDEX(数值规划表!$B$15:$B$18,MATCH(J319,攻击范围,0))</f>
        <v>0</v>
      </c>
      <c r="L319" s="30">
        <v>1</v>
      </c>
      <c r="M319" s="41">
        <v>0</v>
      </c>
      <c r="N319" s="15">
        <f t="shared" si="16"/>
        <v>0</v>
      </c>
      <c r="O319" s="15">
        <f t="shared" si="17"/>
        <v>0</v>
      </c>
      <c r="P319" s="15">
        <f>IF(G319,INDEX(monster!$J$2:$J$606,MATCH(skill!C319,monster!$A$2:$A$606,0)),Q319)</f>
        <v>8</v>
      </c>
      <c r="Q319" s="52">
        <v>8</v>
      </c>
      <c r="R319" s="33">
        <v>1500</v>
      </c>
    </row>
    <row r="320" spans="1:18" s="38" customFormat="1" x14ac:dyDescent="0.15">
      <c r="A320" s="32">
        <v>10330</v>
      </c>
      <c r="B320" s="32" t="s">
        <v>800</v>
      </c>
      <c r="C320" s="32">
        <v>1216</v>
      </c>
      <c r="D320" s="32">
        <v>10</v>
      </c>
      <c r="E320" s="15">
        <f>INDEX(monster!$H$2:$H$617,MATCH(skill!C320,monster!$A$2:$A$617,0))</f>
        <v>128.12</v>
      </c>
      <c r="F320" s="15">
        <f>INDEX(monster!$I$2:$I$617,MATCH(C320,monster!$A$2:$A$617,0))</f>
        <v>3.84</v>
      </c>
      <c r="G320" s="15" t="b">
        <f t="shared" si="18"/>
        <v>0</v>
      </c>
      <c r="H320" s="32">
        <v>0</v>
      </c>
      <c r="I320" s="15">
        <f>IF(H320&gt;0,HLOOKUP(R320/100,数值规划表!$B$37:$AA$39,3),1)</f>
        <v>1</v>
      </c>
      <c r="J320" s="31" t="s">
        <v>1672</v>
      </c>
      <c r="K320" s="15">
        <f>INDEX(数值规划表!$B$15:$B$18,MATCH(J320,攻击范围,0))</f>
        <v>0</v>
      </c>
      <c r="L320" s="30">
        <v>1</v>
      </c>
      <c r="M320" s="41">
        <v>0</v>
      </c>
      <c r="N320" s="15">
        <f t="shared" si="16"/>
        <v>0</v>
      </c>
      <c r="O320" s="15">
        <f t="shared" si="17"/>
        <v>0</v>
      </c>
      <c r="P320" s="15">
        <f>IF(G320,INDEX(monster!$J$2:$J$606,MATCH(skill!C320,monster!$A$2:$A$606,0)),Q320)</f>
        <v>8</v>
      </c>
      <c r="Q320" s="52">
        <v>8</v>
      </c>
      <c r="R320" s="33">
        <v>1500</v>
      </c>
    </row>
    <row r="321" spans="1:18" s="38" customFormat="1" x14ac:dyDescent="0.15">
      <c r="A321" s="32">
        <v>10331</v>
      </c>
      <c r="B321" s="32" t="s">
        <v>2859</v>
      </c>
      <c r="C321" s="32">
        <v>1217</v>
      </c>
      <c r="D321" s="32">
        <v>0</v>
      </c>
      <c r="E321" s="15">
        <f>INDEX(monster!$H$2:$H$617,MATCH(skill!C321,monster!$A$2:$A$617,0))</f>
        <v>56.77</v>
      </c>
      <c r="F321" s="15">
        <f>INDEX(monster!$I$2:$I$617,MATCH(C321,monster!$A$2:$A$617,0))</f>
        <v>1.7</v>
      </c>
      <c r="G321" s="15" t="b">
        <f t="shared" si="18"/>
        <v>1</v>
      </c>
      <c r="H321" s="32">
        <v>1</v>
      </c>
      <c r="I321" s="15">
        <f>IF(H321&gt;0,HLOOKUP(R321/100,数值规划表!$B$37:$AA$39,3),1)</f>
        <v>1</v>
      </c>
      <c r="J321" s="31" t="s">
        <v>1625</v>
      </c>
      <c r="K321" s="15">
        <f>INDEX(数值规划表!$B$15:$B$18,MATCH(J321,攻击范围,0))</f>
        <v>1</v>
      </c>
      <c r="L321" s="30">
        <v>1</v>
      </c>
      <c r="M321" s="41">
        <v>1</v>
      </c>
      <c r="N321" s="15">
        <f t="shared" si="16"/>
        <v>57</v>
      </c>
      <c r="O321" s="15">
        <f t="shared" si="17"/>
        <v>1.7</v>
      </c>
      <c r="P321" s="15">
        <f>IF(G321,INDEX(monster!$J$2:$J$606,MATCH(skill!C321,monster!$A$2:$A$606,0)),Q321)</f>
        <v>4</v>
      </c>
      <c r="Q321" s="70"/>
      <c r="R321" s="33">
        <v>100</v>
      </c>
    </row>
    <row r="322" spans="1:18" s="38" customFormat="1" x14ac:dyDescent="0.15">
      <c r="A322" s="32">
        <v>10332</v>
      </c>
      <c r="B322" s="32" t="s">
        <v>2860</v>
      </c>
      <c r="C322" s="32">
        <v>1218</v>
      </c>
      <c r="D322" s="32">
        <v>1</v>
      </c>
      <c r="E322" s="15">
        <f>INDEX(monster!$H$2:$H$617,MATCH(skill!C322,monster!$A$2:$A$617,0))</f>
        <v>63.58</v>
      </c>
      <c r="F322" s="15">
        <f>INDEX(monster!$I$2:$I$617,MATCH(C322,monster!$A$2:$A$617,0))</f>
        <v>1.91</v>
      </c>
      <c r="G322" s="15" t="b">
        <f t="shared" si="18"/>
        <v>1</v>
      </c>
      <c r="H322" s="32">
        <v>1</v>
      </c>
      <c r="I322" s="15">
        <f>IF(H322&gt;0,HLOOKUP(R322/100,数值规划表!$B$37:$AA$39,3),1)</f>
        <v>1</v>
      </c>
      <c r="J322" s="31" t="s">
        <v>1625</v>
      </c>
      <c r="K322" s="15">
        <f>INDEX(数值规划表!$B$15:$B$18,MATCH(J322,攻击范围,0))</f>
        <v>1</v>
      </c>
      <c r="L322" s="70">
        <v>1</v>
      </c>
      <c r="M322" s="70">
        <v>1</v>
      </c>
      <c r="N322" s="15">
        <f t="shared" ref="N322:N374" si="19">ROUND(E322*I322*K322*L322,0)</f>
        <v>64</v>
      </c>
      <c r="O322" s="15">
        <f t="shared" ref="O322:O374" si="20">ROUND(F322*I322*K322*L322,2)</f>
        <v>1.91</v>
      </c>
      <c r="P322" s="15">
        <f>IF(G322,INDEX(monster!$J$2:$J$606,MATCH(skill!C322,monster!$A$2:$A$606,0)),Q322)</f>
        <v>4</v>
      </c>
      <c r="Q322" s="70"/>
      <c r="R322" s="33">
        <v>100</v>
      </c>
    </row>
    <row r="323" spans="1:18" s="38" customFormat="1" x14ac:dyDescent="0.15">
      <c r="A323" s="32">
        <v>10333</v>
      </c>
      <c r="B323" s="32" t="s">
        <v>801</v>
      </c>
      <c r="C323" s="32">
        <v>1219</v>
      </c>
      <c r="D323" s="32">
        <v>2</v>
      </c>
      <c r="E323" s="15">
        <f>INDEX(monster!$H$2:$H$617,MATCH(skill!C323,monster!$A$2:$A$617,0))</f>
        <v>71.209999999999994</v>
      </c>
      <c r="F323" s="15">
        <f>INDEX(monster!$I$2:$I$617,MATCH(C323,monster!$A$2:$A$617,0))</f>
        <v>2.14</v>
      </c>
      <c r="G323" s="15" t="b">
        <f t="shared" si="18"/>
        <v>1</v>
      </c>
      <c r="H323" s="32">
        <v>1</v>
      </c>
      <c r="I323" s="15">
        <f>IF(H323&gt;0,HLOOKUP(R323/100,数值规划表!$B$37:$AA$39,3),1)</f>
        <v>1</v>
      </c>
      <c r="J323" s="31" t="s">
        <v>1625</v>
      </c>
      <c r="K323" s="15">
        <f>INDEX(数值规划表!$B$15:$B$18,MATCH(J323,攻击范围,0))</f>
        <v>1</v>
      </c>
      <c r="L323" s="70">
        <v>1</v>
      </c>
      <c r="M323" s="70">
        <v>1</v>
      </c>
      <c r="N323" s="15">
        <f t="shared" si="19"/>
        <v>71</v>
      </c>
      <c r="O323" s="15">
        <f t="shared" si="20"/>
        <v>2.14</v>
      </c>
      <c r="P323" s="15">
        <f>IF(G323,INDEX(monster!$J$2:$J$606,MATCH(skill!C323,monster!$A$2:$A$606,0)),Q323)</f>
        <v>4</v>
      </c>
      <c r="Q323" s="70"/>
      <c r="R323" s="33">
        <v>100</v>
      </c>
    </row>
    <row r="324" spans="1:18" s="38" customFormat="1" x14ac:dyDescent="0.15">
      <c r="A324" s="32">
        <v>10334</v>
      </c>
      <c r="B324" s="32" t="s">
        <v>802</v>
      </c>
      <c r="C324" s="32">
        <v>1220</v>
      </c>
      <c r="D324" s="32">
        <v>3</v>
      </c>
      <c r="E324" s="15">
        <f>INDEX(monster!$H$2:$H$617,MATCH(skill!C324,monster!$A$2:$A$617,0))</f>
        <v>79.760000000000005</v>
      </c>
      <c r="F324" s="15">
        <f>INDEX(monster!$I$2:$I$617,MATCH(C324,monster!$A$2:$A$617,0))</f>
        <v>2.39</v>
      </c>
      <c r="G324" s="15" t="b">
        <f t="shared" si="18"/>
        <v>1</v>
      </c>
      <c r="H324" s="32">
        <v>1</v>
      </c>
      <c r="I324" s="15">
        <f>IF(H324&gt;0,HLOOKUP(R324/100,数值规划表!$B$37:$AA$39,3),1)</f>
        <v>1</v>
      </c>
      <c r="J324" s="31" t="s">
        <v>1625</v>
      </c>
      <c r="K324" s="15">
        <f>INDEX(数值规划表!$B$15:$B$18,MATCH(J324,攻击范围,0))</f>
        <v>1</v>
      </c>
      <c r="L324" s="70">
        <v>1</v>
      </c>
      <c r="M324" s="70">
        <v>1</v>
      </c>
      <c r="N324" s="15">
        <f t="shared" si="19"/>
        <v>80</v>
      </c>
      <c r="O324" s="15">
        <f t="shared" si="20"/>
        <v>2.39</v>
      </c>
      <c r="P324" s="15">
        <f>IF(G324,INDEX(monster!$J$2:$J$606,MATCH(skill!C324,monster!$A$2:$A$606,0)),Q324)</f>
        <v>4</v>
      </c>
      <c r="Q324" s="70"/>
      <c r="R324" s="33">
        <v>100</v>
      </c>
    </row>
    <row r="325" spans="1:18" s="38" customFormat="1" x14ac:dyDescent="0.15">
      <c r="A325" s="32">
        <v>10335</v>
      </c>
      <c r="B325" s="32" t="s">
        <v>803</v>
      </c>
      <c r="C325" s="32">
        <v>1221</v>
      </c>
      <c r="D325" s="32">
        <v>4</v>
      </c>
      <c r="E325" s="15">
        <f>INDEX(monster!$H$2:$H$617,MATCH(skill!C325,monster!$A$2:$A$617,0))</f>
        <v>89.33</v>
      </c>
      <c r="F325" s="15">
        <f>INDEX(monster!$I$2:$I$617,MATCH(C325,monster!$A$2:$A$617,0))</f>
        <v>2.68</v>
      </c>
      <c r="G325" s="15" t="b">
        <f t="shared" si="18"/>
        <v>1</v>
      </c>
      <c r="H325" s="32">
        <v>1</v>
      </c>
      <c r="I325" s="15">
        <f>IF(H325&gt;0,HLOOKUP(R325/100,数值规划表!$B$37:$AA$39,3),1)</f>
        <v>1</v>
      </c>
      <c r="J325" s="31" t="s">
        <v>1625</v>
      </c>
      <c r="K325" s="15">
        <f>INDEX(数值规划表!$B$15:$B$18,MATCH(J325,攻击范围,0))</f>
        <v>1</v>
      </c>
      <c r="L325" s="70">
        <v>1</v>
      </c>
      <c r="M325" s="70">
        <v>1</v>
      </c>
      <c r="N325" s="15">
        <f t="shared" si="19"/>
        <v>89</v>
      </c>
      <c r="O325" s="15">
        <f t="shared" si="20"/>
        <v>2.68</v>
      </c>
      <c r="P325" s="15">
        <f>IF(G325,INDEX(monster!$J$2:$J$606,MATCH(skill!C325,monster!$A$2:$A$606,0)),Q325)</f>
        <v>4</v>
      </c>
      <c r="Q325" s="70"/>
      <c r="R325" s="33">
        <v>100</v>
      </c>
    </row>
    <row r="326" spans="1:18" s="38" customFormat="1" x14ac:dyDescent="0.15">
      <c r="A326" s="32">
        <v>10336</v>
      </c>
      <c r="B326" s="32" t="s">
        <v>804</v>
      </c>
      <c r="C326" s="32">
        <v>1222</v>
      </c>
      <c r="D326" s="32">
        <v>5</v>
      </c>
      <c r="E326" s="15">
        <f>INDEX(monster!$H$2:$H$617,MATCH(skill!C326,monster!$A$2:$A$617,0))</f>
        <v>100.05</v>
      </c>
      <c r="F326" s="15">
        <f>INDEX(monster!$I$2:$I$617,MATCH(C326,monster!$A$2:$A$617,0))</f>
        <v>3</v>
      </c>
      <c r="G326" s="15" t="b">
        <f t="shared" si="18"/>
        <v>1</v>
      </c>
      <c r="H326" s="32">
        <v>1</v>
      </c>
      <c r="I326" s="15">
        <f>IF(H326&gt;0,HLOOKUP(R326/100,数值规划表!$B$37:$AA$39,3),1)</f>
        <v>1</v>
      </c>
      <c r="J326" s="31" t="s">
        <v>1625</v>
      </c>
      <c r="K326" s="15">
        <f>INDEX(数值规划表!$B$15:$B$18,MATCH(J326,攻击范围,0))</f>
        <v>1</v>
      </c>
      <c r="L326" s="70">
        <v>1</v>
      </c>
      <c r="M326" s="70">
        <v>1</v>
      </c>
      <c r="N326" s="15">
        <f t="shared" si="19"/>
        <v>100</v>
      </c>
      <c r="O326" s="15">
        <f t="shared" si="20"/>
        <v>3</v>
      </c>
      <c r="P326" s="15">
        <f>IF(G326,INDEX(monster!$J$2:$J$606,MATCH(skill!C326,monster!$A$2:$A$606,0)),Q326)</f>
        <v>4</v>
      </c>
      <c r="Q326" s="70"/>
      <c r="R326" s="33">
        <v>100</v>
      </c>
    </row>
    <row r="327" spans="1:18" s="38" customFormat="1" x14ac:dyDescent="0.15">
      <c r="A327" s="32">
        <v>10337</v>
      </c>
      <c r="B327" s="32" t="s">
        <v>805</v>
      </c>
      <c r="C327" s="32">
        <v>1223</v>
      </c>
      <c r="D327" s="32">
        <v>6</v>
      </c>
      <c r="E327" s="15">
        <f>INDEX(monster!$H$2:$H$617,MATCH(skill!C327,monster!$A$2:$A$617,0))</f>
        <v>112.05</v>
      </c>
      <c r="F327" s="15">
        <f>INDEX(monster!$I$2:$I$617,MATCH(C327,monster!$A$2:$A$617,0))</f>
        <v>3.36</v>
      </c>
      <c r="G327" s="15" t="b">
        <f t="shared" si="18"/>
        <v>1</v>
      </c>
      <c r="H327" s="32">
        <v>1</v>
      </c>
      <c r="I327" s="15">
        <f>IF(H327&gt;0,HLOOKUP(R327/100,数值规划表!$B$37:$AA$39,3),1)</f>
        <v>1</v>
      </c>
      <c r="J327" s="31" t="s">
        <v>1625</v>
      </c>
      <c r="K327" s="15">
        <f>INDEX(数值规划表!$B$15:$B$18,MATCH(J327,攻击范围,0))</f>
        <v>1</v>
      </c>
      <c r="L327" s="70">
        <v>1</v>
      </c>
      <c r="M327" s="70">
        <v>1</v>
      </c>
      <c r="N327" s="15">
        <f t="shared" si="19"/>
        <v>112</v>
      </c>
      <c r="O327" s="15">
        <f t="shared" si="20"/>
        <v>3.36</v>
      </c>
      <c r="P327" s="15">
        <f>IF(G327,INDEX(monster!$J$2:$J$606,MATCH(skill!C327,monster!$A$2:$A$606,0)),Q327)</f>
        <v>4</v>
      </c>
      <c r="Q327" s="70"/>
      <c r="R327" s="33">
        <v>100</v>
      </c>
    </row>
    <row r="328" spans="1:18" s="38" customFormat="1" x14ac:dyDescent="0.15">
      <c r="A328" s="32">
        <v>10338</v>
      </c>
      <c r="B328" s="32" t="s">
        <v>806</v>
      </c>
      <c r="C328" s="32">
        <v>1224</v>
      </c>
      <c r="D328" s="32">
        <v>7</v>
      </c>
      <c r="E328" s="15">
        <f>INDEX(monster!$H$2:$H$617,MATCH(skill!C328,monster!$A$2:$A$617,0))</f>
        <v>125.5</v>
      </c>
      <c r="F328" s="15">
        <f>INDEX(monster!$I$2:$I$617,MATCH(C328,monster!$A$2:$A$617,0))</f>
        <v>3.77</v>
      </c>
      <c r="G328" s="15" t="b">
        <f t="shared" si="18"/>
        <v>1</v>
      </c>
      <c r="H328" s="32">
        <v>1</v>
      </c>
      <c r="I328" s="15">
        <f>IF(H328&gt;0,HLOOKUP(R328/100,数值规划表!$B$37:$AA$39,3),1)</f>
        <v>1</v>
      </c>
      <c r="J328" s="31" t="s">
        <v>1625</v>
      </c>
      <c r="K328" s="15">
        <f>INDEX(数值规划表!$B$15:$B$18,MATCH(J328,攻击范围,0))</f>
        <v>1</v>
      </c>
      <c r="L328" s="70">
        <v>1</v>
      </c>
      <c r="M328" s="70">
        <v>1</v>
      </c>
      <c r="N328" s="15">
        <f t="shared" si="19"/>
        <v>126</v>
      </c>
      <c r="O328" s="15">
        <f t="shared" si="20"/>
        <v>3.77</v>
      </c>
      <c r="P328" s="15">
        <f>IF(G328,INDEX(monster!$J$2:$J$606,MATCH(skill!C328,monster!$A$2:$A$606,0)),Q328)</f>
        <v>4</v>
      </c>
      <c r="Q328" s="70"/>
      <c r="R328" s="33">
        <v>100</v>
      </c>
    </row>
    <row r="329" spans="1:18" s="38" customFormat="1" x14ac:dyDescent="0.15">
      <c r="A329" s="32">
        <v>10339</v>
      </c>
      <c r="B329" s="32" t="s">
        <v>807</v>
      </c>
      <c r="C329" s="32">
        <v>1225</v>
      </c>
      <c r="D329" s="32">
        <v>8</v>
      </c>
      <c r="E329" s="15">
        <f>INDEX(monster!$H$2:$H$617,MATCH(skill!C329,monster!$A$2:$A$617,0))</f>
        <v>140.56</v>
      </c>
      <c r="F329" s="15">
        <f>INDEX(monster!$I$2:$I$617,MATCH(C329,monster!$A$2:$A$617,0))</f>
        <v>4.22</v>
      </c>
      <c r="G329" s="15" t="b">
        <f t="shared" si="18"/>
        <v>1</v>
      </c>
      <c r="H329" s="32">
        <v>1</v>
      </c>
      <c r="I329" s="15">
        <f>IF(H329&gt;0,HLOOKUP(R329/100,数值规划表!$B$37:$AA$39,3),1)</f>
        <v>1</v>
      </c>
      <c r="J329" s="31" t="s">
        <v>1625</v>
      </c>
      <c r="K329" s="15">
        <f>INDEX(数值规划表!$B$15:$B$18,MATCH(J329,攻击范围,0))</f>
        <v>1</v>
      </c>
      <c r="L329" s="70">
        <v>1</v>
      </c>
      <c r="M329" s="70">
        <v>1</v>
      </c>
      <c r="N329" s="15">
        <f t="shared" si="19"/>
        <v>141</v>
      </c>
      <c r="O329" s="15">
        <f t="shared" si="20"/>
        <v>4.22</v>
      </c>
      <c r="P329" s="15">
        <f>IF(G329,INDEX(monster!$J$2:$J$606,MATCH(skill!C329,monster!$A$2:$A$606,0)),Q329)</f>
        <v>4</v>
      </c>
      <c r="Q329" s="70"/>
      <c r="R329" s="33">
        <v>100</v>
      </c>
    </row>
    <row r="330" spans="1:18" s="38" customFormat="1" x14ac:dyDescent="0.15">
      <c r="A330" s="32">
        <v>10340</v>
      </c>
      <c r="B330" s="32" t="s">
        <v>808</v>
      </c>
      <c r="C330" s="32">
        <v>1226</v>
      </c>
      <c r="D330" s="32">
        <v>9</v>
      </c>
      <c r="E330" s="15">
        <f>INDEX(monster!$H$2:$H$617,MATCH(skill!C330,monster!$A$2:$A$617,0))</f>
        <v>157.43</v>
      </c>
      <c r="F330" s="15">
        <f>INDEX(monster!$I$2:$I$617,MATCH(C330,monster!$A$2:$A$617,0))</f>
        <v>4.72</v>
      </c>
      <c r="G330" s="15" t="b">
        <f t="shared" si="18"/>
        <v>1</v>
      </c>
      <c r="H330" s="32">
        <v>1</v>
      </c>
      <c r="I330" s="15">
        <f>IF(H330&gt;0,HLOOKUP(R330/100,数值规划表!$B$37:$AA$39,3),1)</f>
        <v>1</v>
      </c>
      <c r="J330" s="31" t="s">
        <v>1625</v>
      </c>
      <c r="K330" s="15">
        <f>INDEX(数值规划表!$B$15:$B$18,MATCH(J330,攻击范围,0))</f>
        <v>1</v>
      </c>
      <c r="L330" s="70">
        <v>1</v>
      </c>
      <c r="M330" s="70">
        <v>1</v>
      </c>
      <c r="N330" s="15">
        <f t="shared" si="19"/>
        <v>157</v>
      </c>
      <c r="O330" s="15">
        <f t="shared" si="20"/>
        <v>4.72</v>
      </c>
      <c r="P330" s="15">
        <f>IF(G330,INDEX(monster!$J$2:$J$606,MATCH(skill!C330,monster!$A$2:$A$606,0)),Q330)</f>
        <v>4</v>
      </c>
      <c r="Q330" s="70"/>
      <c r="R330" s="33">
        <v>100</v>
      </c>
    </row>
    <row r="331" spans="1:18" s="38" customFormat="1" x14ac:dyDescent="0.15">
      <c r="A331" s="32">
        <v>10341</v>
      </c>
      <c r="B331" s="32" t="s">
        <v>809</v>
      </c>
      <c r="C331" s="32">
        <v>1227</v>
      </c>
      <c r="D331" s="32">
        <v>10</v>
      </c>
      <c r="E331" s="15">
        <f>INDEX(monster!$H$2:$H$617,MATCH(skill!C331,monster!$A$2:$A$617,0))</f>
        <v>176.32</v>
      </c>
      <c r="F331" s="15">
        <f>INDEX(monster!$I$2:$I$617,MATCH(C331,monster!$A$2:$A$617,0))</f>
        <v>5.29</v>
      </c>
      <c r="G331" s="15" t="b">
        <f t="shared" si="18"/>
        <v>1</v>
      </c>
      <c r="H331" s="32">
        <v>1</v>
      </c>
      <c r="I331" s="15">
        <f>IF(H331&gt;0,HLOOKUP(R331/100,数值规划表!$B$37:$AA$39,3),1)</f>
        <v>1</v>
      </c>
      <c r="J331" s="31" t="s">
        <v>1625</v>
      </c>
      <c r="K331" s="15">
        <f>INDEX(数值规划表!$B$15:$B$18,MATCH(J331,攻击范围,0))</f>
        <v>1</v>
      </c>
      <c r="L331" s="70">
        <v>1</v>
      </c>
      <c r="M331" s="70">
        <v>1</v>
      </c>
      <c r="N331" s="15">
        <f t="shared" si="19"/>
        <v>176</v>
      </c>
      <c r="O331" s="15">
        <f t="shared" si="20"/>
        <v>5.29</v>
      </c>
      <c r="P331" s="15">
        <f>IF(G331,INDEX(monster!$J$2:$J$606,MATCH(skill!C331,monster!$A$2:$A$606,0)),Q331)</f>
        <v>4</v>
      </c>
      <c r="Q331" s="70"/>
      <c r="R331" s="33">
        <v>100</v>
      </c>
    </row>
    <row r="332" spans="1:18" s="38" customFormat="1" x14ac:dyDescent="0.15">
      <c r="A332" s="32">
        <v>10342</v>
      </c>
      <c r="B332" s="32" t="s">
        <v>1495</v>
      </c>
      <c r="C332" s="32">
        <v>1217</v>
      </c>
      <c r="D332" s="32">
        <v>0</v>
      </c>
      <c r="E332" s="15">
        <f>INDEX(数值规划表!$G$79:$G$89,$D332+1)</f>
        <v>310</v>
      </c>
      <c r="F332" s="15">
        <f>INDEX(数值规划表!$H$79:$H$89,$D332+1)</f>
        <v>9.2899999999999991</v>
      </c>
      <c r="G332" s="15" t="b">
        <f t="shared" si="18"/>
        <v>0</v>
      </c>
      <c r="H332" s="32">
        <v>0</v>
      </c>
      <c r="I332" s="15">
        <f>IF(H332&gt;0,HLOOKUP(R332/100,数值规划表!$B$37:$AA$39,3),1)</f>
        <v>1</v>
      </c>
      <c r="J332" s="31" t="s">
        <v>1627</v>
      </c>
      <c r="K332" s="15">
        <f>INDEX(数值规划表!$B$15:$B$18,MATCH(J332,攻击范围,0))</f>
        <v>0.7</v>
      </c>
      <c r="L332" s="30">
        <f>2/M332</f>
        <v>0.1</v>
      </c>
      <c r="M332" s="41">
        <v>20</v>
      </c>
      <c r="N332" s="15">
        <f t="shared" si="19"/>
        <v>22</v>
      </c>
      <c r="O332" s="15">
        <f t="shared" si="20"/>
        <v>0.65</v>
      </c>
      <c r="P332" s="15">
        <f>IF(G332,INDEX(monster!$J$2:$J$606,MATCH(skill!C332,monster!$A$2:$A$606,0)),Q332)</f>
        <v>6</v>
      </c>
      <c r="Q332" s="70">
        <v>6</v>
      </c>
      <c r="R332" s="33">
        <v>1500</v>
      </c>
    </row>
    <row r="333" spans="1:18" s="38" customFormat="1" x14ac:dyDescent="0.15">
      <c r="A333" s="32">
        <v>10343</v>
      </c>
      <c r="B333" s="32" t="s">
        <v>1496</v>
      </c>
      <c r="C333" s="32">
        <v>1218</v>
      </c>
      <c r="D333" s="32">
        <v>1</v>
      </c>
      <c r="E333" s="15">
        <f>INDEX(数值规划表!$G$79:$G$89,$D333+1)</f>
        <v>347</v>
      </c>
      <c r="F333" s="15">
        <f>INDEX(数值规划表!$H$79:$H$89,$D333+1)</f>
        <v>10.4</v>
      </c>
      <c r="G333" s="15" t="b">
        <f t="shared" si="18"/>
        <v>0</v>
      </c>
      <c r="H333" s="32">
        <v>0</v>
      </c>
      <c r="I333" s="15">
        <f>IF(H333&gt;0,HLOOKUP(R333/100,数值规划表!$B$37:$AA$39,3),1)</f>
        <v>1</v>
      </c>
      <c r="J333" s="31" t="s">
        <v>1627</v>
      </c>
      <c r="K333" s="15">
        <f>INDEX(数值规划表!$B$15:$B$18,MATCH(J333,攻击范围,0))</f>
        <v>0.7</v>
      </c>
      <c r="L333" s="70">
        <f t="shared" ref="L333:L342" si="21">2/M333</f>
        <v>0.1</v>
      </c>
      <c r="M333" s="70">
        <v>20</v>
      </c>
      <c r="N333" s="15">
        <f t="shared" si="19"/>
        <v>24</v>
      </c>
      <c r="O333" s="15">
        <f t="shared" si="20"/>
        <v>0.73</v>
      </c>
      <c r="P333" s="15">
        <f>IF(G333,INDEX(monster!$J$2:$J$606,MATCH(skill!C333,monster!$A$2:$A$606,0)),Q333)</f>
        <v>6</v>
      </c>
      <c r="Q333" s="70">
        <v>6</v>
      </c>
      <c r="R333" s="33">
        <v>1500</v>
      </c>
    </row>
    <row r="334" spans="1:18" s="38" customFormat="1" x14ac:dyDescent="0.15">
      <c r="A334" s="32">
        <v>10344</v>
      </c>
      <c r="B334" s="32" t="s">
        <v>810</v>
      </c>
      <c r="C334" s="32">
        <v>1219</v>
      </c>
      <c r="D334" s="32">
        <v>2</v>
      </c>
      <c r="E334" s="15">
        <f>INDEX(数值规划表!$G$79:$G$89,$D334+1)</f>
        <v>388</v>
      </c>
      <c r="F334" s="15">
        <f>INDEX(数值规划表!$H$79:$H$89,$D334+1)</f>
        <v>11.65</v>
      </c>
      <c r="G334" s="15" t="b">
        <f t="shared" si="18"/>
        <v>0</v>
      </c>
      <c r="H334" s="32">
        <v>0</v>
      </c>
      <c r="I334" s="15">
        <f>IF(H334&gt;0,HLOOKUP(R334/100,数值规划表!$B$37:$AA$39,3),1)</f>
        <v>1</v>
      </c>
      <c r="J334" s="31" t="s">
        <v>1627</v>
      </c>
      <c r="K334" s="15">
        <f>INDEX(数值规划表!$B$15:$B$18,MATCH(J334,攻击范围,0))</f>
        <v>0.7</v>
      </c>
      <c r="L334" s="70">
        <f t="shared" si="21"/>
        <v>0.1</v>
      </c>
      <c r="M334" s="70">
        <v>20</v>
      </c>
      <c r="N334" s="15">
        <f t="shared" si="19"/>
        <v>27</v>
      </c>
      <c r="O334" s="15">
        <f t="shared" si="20"/>
        <v>0.82</v>
      </c>
      <c r="P334" s="15">
        <f>IF(G334,INDEX(monster!$J$2:$J$606,MATCH(skill!C334,monster!$A$2:$A$606,0)),Q334)</f>
        <v>6</v>
      </c>
      <c r="Q334" s="70">
        <v>6</v>
      </c>
      <c r="R334" s="33">
        <v>1500</v>
      </c>
    </row>
    <row r="335" spans="1:18" s="38" customFormat="1" x14ac:dyDescent="0.15">
      <c r="A335" s="32">
        <v>10345</v>
      </c>
      <c r="B335" s="32" t="s">
        <v>811</v>
      </c>
      <c r="C335" s="32">
        <v>1220</v>
      </c>
      <c r="D335" s="32">
        <v>3</v>
      </c>
      <c r="E335" s="15">
        <f>INDEX(数值规划表!$G$79:$G$89,$D335+1)</f>
        <v>435</v>
      </c>
      <c r="F335" s="15">
        <f>INDEX(数值规划表!$H$79:$H$89,$D335+1)</f>
        <v>13.05</v>
      </c>
      <c r="G335" s="15" t="b">
        <f t="shared" si="18"/>
        <v>0</v>
      </c>
      <c r="H335" s="32">
        <v>0</v>
      </c>
      <c r="I335" s="15">
        <f>IF(H335&gt;0,HLOOKUP(R335/100,数值规划表!$B$37:$AA$39,3),1)</f>
        <v>1</v>
      </c>
      <c r="J335" s="31" t="s">
        <v>1627</v>
      </c>
      <c r="K335" s="15">
        <f>INDEX(数值规划表!$B$15:$B$18,MATCH(J335,攻击范围,0))</f>
        <v>0.7</v>
      </c>
      <c r="L335" s="70">
        <f t="shared" si="21"/>
        <v>0.1</v>
      </c>
      <c r="M335" s="70">
        <v>20</v>
      </c>
      <c r="N335" s="15">
        <f t="shared" si="19"/>
        <v>30</v>
      </c>
      <c r="O335" s="15">
        <f t="shared" si="20"/>
        <v>0.91</v>
      </c>
      <c r="P335" s="15">
        <f>IF(G335,INDEX(monster!$J$2:$J$606,MATCH(skill!C335,monster!$A$2:$A$606,0)),Q335)</f>
        <v>6</v>
      </c>
      <c r="Q335" s="70">
        <v>6</v>
      </c>
      <c r="R335" s="33">
        <v>1500</v>
      </c>
    </row>
    <row r="336" spans="1:18" s="38" customFormat="1" x14ac:dyDescent="0.15">
      <c r="A336" s="32">
        <v>10346</v>
      </c>
      <c r="B336" s="32" t="s">
        <v>812</v>
      </c>
      <c r="C336" s="32">
        <v>1221</v>
      </c>
      <c r="D336" s="32">
        <v>4</v>
      </c>
      <c r="E336" s="15">
        <f>INDEX(数值规划表!$G$79:$G$89,$D336+1)</f>
        <v>487</v>
      </c>
      <c r="F336" s="15">
        <f>INDEX(数值规划表!$H$79:$H$89,$D336+1)</f>
        <v>14.61</v>
      </c>
      <c r="G336" s="15" t="b">
        <f t="shared" si="18"/>
        <v>0</v>
      </c>
      <c r="H336" s="32">
        <v>0</v>
      </c>
      <c r="I336" s="15">
        <f>IF(H336&gt;0,HLOOKUP(R336/100,数值规划表!$B$37:$AA$39,3),1)</f>
        <v>1</v>
      </c>
      <c r="J336" s="31" t="s">
        <v>1627</v>
      </c>
      <c r="K336" s="15">
        <f>INDEX(数值规划表!$B$15:$B$18,MATCH(J336,攻击范围,0))</f>
        <v>0.7</v>
      </c>
      <c r="L336" s="70">
        <f t="shared" si="21"/>
        <v>0.1</v>
      </c>
      <c r="M336" s="70">
        <v>20</v>
      </c>
      <c r="N336" s="15">
        <f t="shared" si="19"/>
        <v>34</v>
      </c>
      <c r="O336" s="15">
        <f t="shared" si="20"/>
        <v>1.02</v>
      </c>
      <c r="P336" s="15">
        <f>IF(G336,INDEX(monster!$J$2:$J$606,MATCH(skill!C336,monster!$A$2:$A$606,0)),Q336)</f>
        <v>6</v>
      </c>
      <c r="Q336" s="70">
        <v>6</v>
      </c>
      <c r="R336" s="33">
        <v>1500</v>
      </c>
    </row>
    <row r="337" spans="1:18" s="38" customFormat="1" x14ac:dyDescent="0.15">
      <c r="A337" s="32">
        <v>10347</v>
      </c>
      <c r="B337" s="32" t="s">
        <v>813</v>
      </c>
      <c r="C337" s="32">
        <v>1222</v>
      </c>
      <c r="D337" s="32">
        <v>5</v>
      </c>
      <c r="E337" s="15">
        <f>INDEX(数值规划表!$G$79:$G$89,$D337+1)</f>
        <v>546</v>
      </c>
      <c r="F337" s="15">
        <f>INDEX(数值规划表!$H$79:$H$89,$D337+1)</f>
        <v>16.37</v>
      </c>
      <c r="G337" s="15" t="b">
        <f t="shared" si="18"/>
        <v>0</v>
      </c>
      <c r="H337" s="32">
        <v>0</v>
      </c>
      <c r="I337" s="15">
        <f>IF(H337&gt;0,HLOOKUP(R337/100,数值规划表!$B$37:$AA$39,3),1)</f>
        <v>1</v>
      </c>
      <c r="J337" s="31" t="s">
        <v>1627</v>
      </c>
      <c r="K337" s="15">
        <f>INDEX(数值规划表!$B$15:$B$18,MATCH(J337,攻击范围,0))</f>
        <v>0.7</v>
      </c>
      <c r="L337" s="70">
        <f t="shared" si="21"/>
        <v>0.1</v>
      </c>
      <c r="M337" s="70">
        <v>20</v>
      </c>
      <c r="N337" s="15">
        <f t="shared" si="19"/>
        <v>38</v>
      </c>
      <c r="O337" s="15">
        <f t="shared" si="20"/>
        <v>1.1499999999999999</v>
      </c>
      <c r="P337" s="15">
        <f>IF(G337,INDEX(monster!$J$2:$J$606,MATCH(skill!C337,monster!$A$2:$A$606,0)),Q337)</f>
        <v>6</v>
      </c>
      <c r="Q337" s="70">
        <v>6</v>
      </c>
      <c r="R337" s="33">
        <v>1500</v>
      </c>
    </row>
    <row r="338" spans="1:18" s="38" customFormat="1" x14ac:dyDescent="0.15">
      <c r="A338" s="32">
        <v>10348</v>
      </c>
      <c r="B338" s="32" t="s">
        <v>814</v>
      </c>
      <c r="C338" s="32">
        <v>1223</v>
      </c>
      <c r="D338" s="32">
        <v>6</v>
      </c>
      <c r="E338" s="15">
        <f>INDEX(数值规划表!$G$79:$G$89,$D338+1)</f>
        <v>611</v>
      </c>
      <c r="F338" s="15">
        <f>INDEX(数值规划表!$H$79:$H$89,$D338+1)</f>
        <v>18.329999999999998</v>
      </c>
      <c r="G338" s="15" t="b">
        <f t="shared" si="18"/>
        <v>0</v>
      </c>
      <c r="H338" s="32">
        <v>0</v>
      </c>
      <c r="I338" s="15">
        <f>IF(H338&gt;0,HLOOKUP(R338/100,数值规划表!$B$37:$AA$39,3),1)</f>
        <v>1</v>
      </c>
      <c r="J338" s="31" t="s">
        <v>1627</v>
      </c>
      <c r="K338" s="15">
        <f>INDEX(数值规划表!$B$15:$B$18,MATCH(J338,攻击范围,0))</f>
        <v>0.7</v>
      </c>
      <c r="L338" s="70">
        <f t="shared" si="21"/>
        <v>0.1</v>
      </c>
      <c r="M338" s="70">
        <v>20</v>
      </c>
      <c r="N338" s="15">
        <f t="shared" si="19"/>
        <v>43</v>
      </c>
      <c r="O338" s="15">
        <f t="shared" si="20"/>
        <v>1.28</v>
      </c>
      <c r="P338" s="15">
        <f>IF(G338,INDEX(monster!$J$2:$J$606,MATCH(skill!C338,monster!$A$2:$A$606,0)),Q338)</f>
        <v>6</v>
      </c>
      <c r="Q338" s="70">
        <v>6</v>
      </c>
      <c r="R338" s="33">
        <v>1500</v>
      </c>
    </row>
    <row r="339" spans="1:18" s="38" customFormat="1" x14ac:dyDescent="0.15">
      <c r="A339" s="32">
        <v>10349</v>
      </c>
      <c r="B339" s="32" t="s">
        <v>815</v>
      </c>
      <c r="C339" s="32">
        <v>1224</v>
      </c>
      <c r="D339" s="32">
        <v>7</v>
      </c>
      <c r="E339" s="15">
        <f>INDEX(数值规划表!$G$79:$G$89,$D339+1)</f>
        <v>684</v>
      </c>
      <c r="F339" s="15">
        <f>INDEX(数值规划表!$H$79:$H$89,$D339+1)</f>
        <v>20.53</v>
      </c>
      <c r="G339" s="15" t="b">
        <f t="shared" si="18"/>
        <v>0</v>
      </c>
      <c r="H339" s="32">
        <v>0</v>
      </c>
      <c r="I339" s="15">
        <f>IF(H339&gt;0,HLOOKUP(R339/100,数值规划表!$B$37:$AA$39,3),1)</f>
        <v>1</v>
      </c>
      <c r="J339" s="31" t="s">
        <v>1627</v>
      </c>
      <c r="K339" s="15">
        <f>INDEX(数值规划表!$B$15:$B$18,MATCH(J339,攻击范围,0))</f>
        <v>0.7</v>
      </c>
      <c r="L339" s="70">
        <f t="shared" si="21"/>
        <v>0.1</v>
      </c>
      <c r="M339" s="70">
        <v>20</v>
      </c>
      <c r="N339" s="15">
        <f t="shared" si="19"/>
        <v>48</v>
      </c>
      <c r="O339" s="15">
        <f t="shared" si="20"/>
        <v>1.44</v>
      </c>
      <c r="P339" s="15">
        <f>IF(G339,INDEX(monster!$J$2:$J$606,MATCH(skill!C339,monster!$A$2:$A$606,0)),Q339)</f>
        <v>6</v>
      </c>
      <c r="Q339" s="70">
        <v>6</v>
      </c>
      <c r="R339" s="33">
        <v>1500</v>
      </c>
    </row>
    <row r="340" spans="1:18" s="38" customFormat="1" x14ac:dyDescent="0.15">
      <c r="A340" s="32">
        <v>10350</v>
      </c>
      <c r="B340" s="32" t="s">
        <v>816</v>
      </c>
      <c r="C340" s="32">
        <v>1225</v>
      </c>
      <c r="D340" s="32">
        <v>8</v>
      </c>
      <c r="E340" s="15">
        <f>INDEX(数值规划表!$G$79:$G$89,$D340+1)</f>
        <v>766</v>
      </c>
      <c r="F340" s="15">
        <f>INDEX(数值规划表!$H$79:$H$89,$D340+1)</f>
        <v>22.99</v>
      </c>
      <c r="G340" s="15" t="b">
        <f t="shared" si="18"/>
        <v>0</v>
      </c>
      <c r="H340" s="32">
        <v>0</v>
      </c>
      <c r="I340" s="15">
        <f>IF(H340&gt;0,HLOOKUP(R340/100,数值规划表!$B$37:$AA$39,3),1)</f>
        <v>1</v>
      </c>
      <c r="J340" s="31" t="s">
        <v>1627</v>
      </c>
      <c r="K340" s="15">
        <f>INDEX(数值规划表!$B$15:$B$18,MATCH(J340,攻击范围,0))</f>
        <v>0.7</v>
      </c>
      <c r="L340" s="70">
        <f t="shared" si="21"/>
        <v>0.1</v>
      </c>
      <c r="M340" s="70">
        <v>20</v>
      </c>
      <c r="N340" s="15">
        <f t="shared" si="19"/>
        <v>54</v>
      </c>
      <c r="O340" s="15">
        <f t="shared" si="20"/>
        <v>1.61</v>
      </c>
      <c r="P340" s="15">
        <f>IF(G340,INDEX(monster!$J$2:$J$606,MATCH(skill!C340,monster!$A$2:$A$606,0)),Q340)</f>
        <v>6</v>
      </c>
      <c r="Q340" s="70">
        <v>6</v>
      </c>
      <c r="R340" s="33">
        <v>1500</v>
      </c>
    </row>
    <row r="341" spans="1:18" s="38" customFormat="1" x14ac:dyDescent="0.15">
      <c r="A341" s="32">
        <v>10351</v>
      </c>
      <c r="B341" s="32" t="s">
        <v>817</v>
      </c>
      <c r="C341" s="32">
        <v>1226</v>
      </c>
      <c r="D341" s="32">
        <v>9</v>
      </c>
      <c r="E341" s="15">
        <f>INDEX(数值规划表!$G$79:$G$89,$D341+1)</f>
        <v>858</v>
      </c>
      <c r="F341" s="15">
        <f>INDEX(数值规划表!$H$79:$H$89,$D341+1)</f>
        <v>25.75</v>
      </c>
      <c r="G341" s="15" t="b">
        <f t="shared" si="18"/>
        <v>0</v>
      </c>
      <c r="H341" s="32">
        <v>0</v>
      </c>
      <c r="I341" s="15">
        <f>IF(H341&gt;0,HLOOKUP(R341/100,数值规划表!$B$37:$AA$39,3),1)</f>
        <v>1</v>
      </c>
      <c r="J341" s="31" t="s">
        <v>1627</v>
      </c>
      <c r="K341" s="15">
        <f>INDEX(数值规划表!$B$15:$B$18,MATCH(J341,攻击范围,0))</f>
        <v>0.7</v>
      </c>
      <c r="L341" s="70">
        <f t="shared" si="21"/>
        <v>0.1</v>
      </c>
      <c r="M341" s="70">
        <v>20</v>
      </c>
      <c r="N341" s="15">
        <f t="shared" si="19"/>
        <v>60</v>
      </c>
      <c r="O341" s="15">
        <f t="shared" si="20"/>
        <v>1.8</v>
      </c>
      <c r="P341" s="15">
        <f>IF(G341,INDEX(monster!$J$2:$J$606,MATCH(skill!C341,monster!$A$2:$A$606,0)),Q341)</f>
        <v>6</v>
      </c>
      <c r="Q341" s="70">
        <v>6</v>
      </c>
      <c r="R341" s="33">
        <v>1500</v>
      </c>
    </row>
    <row r="342" spans="1:18" s="38" customFormat="1" x14ac:dyDescent="0.15">
      <c r="A342" s="32">
        <v>10352</v>
      </c>
      <c r="B342" s="32" t="s">
        <v>818</v>
      </c>
      <c r="C342" s="32">
        <v>1227</v>
      </c>
      <c r="D342" s="32">
        <v>10</v>
      </c>
      <c r="E342" s="15">
        <f>INDEX(数值规划表!$G$79:$G$89,$D342+1)</f>
        <v>961</v>
      </c>
      <c r="F342" s="15">
        <f>INDEX(数值规划表!$H$79:$H$89,$D342+1)</f>
        <v>28.84</v>
      </c>
      <c r="G342" s="15" t="b">
        <f t="shared" si="18"/>
        <v>0</v>
      </c>
      <c r="H342" s="32">
        <v>0</v>
      </c>
      <c r="I342" s="15">
        <f>IF(H342&gt;0,HLOOKUP(R342/100,数值规划表!$B$37:$AA$39,3),1)</f>
        <v>1</v>
      </c>
      <c r="J342" s="31" t="s">
        <v>1627</v>
      </c>
      <c r="K342" s="15">
        <f>INDEX(数值规划表!$B$15:$B$18,MATCH(J342,攻击范围,0))</f>
        <v>0.7</v>
      </c>
      <c r="L342" s="70">
        <f t="shared" si="21"/>
        <v>0.1</v>
      </c>
      <c r="M342" s="70">
        <v>20</v>
      </c>
      <c r="N342" s="15">
        <f t="shared" si="19"/>
        <v>67</v>
      </c>
      <c r="O342" s="15">
        <f t="shared" si="20"/>
        <v>2.02</v>
      </c>
      <c r="P342" s="15">
        <f>IF(G342,INDEX(monster!$J$2:$J$606,MATCH(skill!C342,monster!$A$2:$A$606,0)),Q342)</f>
        <v>6</v>
      </c>
      <c r="Q342" s="70">
        <v>6</v>
      </c>
      <c r="R342" s="33">
        <v>1500</v>
      </c>
    </row>
    <row r="343" spans="1:18" s="38" customFormat="1" x14ac:dyDescent="0.15">
      <c r="A343" s="32">
        <v>10353</v>
      </c>
      <c r="B343" s="32" t="s">
        <v>1687</v>
      </c>
      <c r="C343" s="32">
        <v>1001</v>
      </c>
      <c r="D343" s="32">
        <v>0</v>
      </c>
      <c r="E343" s="15">
        <f>INDEX(monster!$H$2:$H$617,MATCH(skill!C343,monster!$A$2:$A$617,0))</f>
        <v>77.28</v>
      </c>
      <c r="F343" s="15">
        <f>INDEX(monster!$I$2:$I$617,MATCH(C343,monster!$A$2:$A$617,0))</f>
        <v>2.3199999999999998</v>
      </c>
      <c r="G343" s="15" t="b">
        <f t="shared" si="18"/>
        <v>1</v>
      </c>
      <c r="H343" s="32">
        <v>0</v>
      </c>
      <c r="I343" s="15">
        <f>IF(H343&gt;0,HLOOKUP(R343/100,数值规划表!$B$37:$AA$39,3),1)</f>
        <v>1</v>
      </c>
      <c r="J343" s="31" t="s">
        <v>1625</v>
      </c>
      <c r="K343" s="15">
        <f>INDEX(数值规划表!$B$15:$B$18,MATCH(J343,攻击范围,0))</f>
        <v>1</v>
      </c>
      <c r="L343" s="30">
        <v>1.5</v>
      </c>
      <c r="M343" s="41">
        <v>0</v>
      </c>
      <c r="N343" s="15">
        <f t="shared" si="19"/>
        <v>116</v>
      </c>
      <c r="O343" s="15">
        <f t="shared" si="20"/>
        <v>3.48</v>
      </c>
      <c r="P343" s="15">
        <f>IF(G343,INDEX(monster!$J$2:$J$606,MATCH(skill!C343,monster!$A$2:$A$606,0)),Q343)</f>
        <v>1.2</v>
      </c>
      <c r="Q343" s="70"/>
      <c r="R343" s="33">
        <v>700</v>
      </c>
    </row>
    <row r="344" spans="1:18" s="38" customFormat="1" x14ac:dyDescent="0.15">
      <c r="A344" s="32">
        <v>10354</v>
      </c>
      <c r="B344" s="32" t="s">
        <v>1688</v>
      </c>
      <c r="C344" s="32">
        <v>1002</v>
      </c>
      <c r="D344" s="32">
        <v>1</v>
      </c>
      <c r="E344" s="15">
        <f>INDEX(monster!$H$2:$H$617,MATCH(skill!C344,monster!$A$2:$A$617,0))</f>
        <v>86.55</v>
      </c>
      <c r="F344" s="15">
        <f>INDEX(monster!$I$2:$I$617,MATCH(C344,monster!$A$2:$A$617,0))</f>
        <v>2.6</v>
      </c>
      <c r="G344" s="15" t="b">
        <f t="shared" si="18"/>
        <v>1</v>
      </c>
      <c r="H344" s="32">
        <v>0</v>
      </c>
      <c r="I344" s="15">
        <f>IF(H344&gt;0,HLOOKUP(R344/100,数值规划表!$B$37:$AA$39,3),1)</f>
        <v>1</v>
      </c>
      <c r="J344" s="31" t="s">
        <v>1625</v>
      </c>
      <c r="K344" s="15">
        <f>INDEX(数值规划表!$B$15:$B$18,MATCH(J344,攻击范围,0))</f>
        <v>1</v>
      </c>
      <c r="L344" s="47">
        <v>1.5</v>
      </c>
      <c r="M344" s="41">
        <v>0</v>
      </c>
      <c r="N344" s="15">
        <f t="shared" si="19"/>
        <v>130</v>
      </c>
      <c r="O344" s="15">
        <f t="shared" si="20"/>
        <v>3.9</v>
      </c>
      <c r="P344" s="15">
        <f>IF(G344,INDEX(monster!$J$2:$J$606,MATCH(skill!C344,monster!$A$2:$A$606,0)),Q344)</f>
        <v>1.2</v>
      </c>
      <c r="Q344" s="70"/>
      <c r="R344" s="33">
        <v>700</v>
      </c>
    </row>
    <row r="345" spans="1:18" s="38" customFormat="1" x14ac:dyDescent="0.15">
      <c r="A345" s="32">
        <v>10355</v>
      </c>
      <c r="B345" s="32" t="s">
        <v>1689</v>
      </c>
      <c r="C345" s="32">
        <v>1003</v>
      </c>
      <c r="D345" s="32">
        <v>2</v>
      </c>
      <c r="E345" s="15">
        <f>INDEX(monster!$H$2:$H$617,MATCH(skill!C345,monster!$A$2:$A$617,0))</f>
        <v>96.94</v>
      </c>
      <c r="F345" s="15">
        <f>INDEX(monster!$I$2:$I$617,MATCH(C345,monster!$A$2:$A$617,0))</f>
        <v>2.91</v>
      </c>
      <c r="G345" s="15" t="b">
        <f t="shared" si="18"/>
        <v>1</v>
      </c>
      <c r="H345" s="32">
        <v>0</v>
      </c>
      <c r="I345" s="15">
        <f>IF(H345&gt;0,HLOOKUP(R345/100,数值规划表!$B$37:$AA$39,3),1)</f>
        <v>1</v>
      </c>
      <c r="J345" s="31" t="s">
        <v>1625</v>
      </c>
      <c r="K345" s="15">
        <f>INDEX(数值规划表!$B$15:$B$18,MATCH(J345,攻击范围,0))</f>
        <v>1</v>
      </c>
      <c r="L345" s="47">
        <v>1.5</v>
      </c>
      <c r="M345" s="41">
        <v>0</v>
      </c>
      <c r="N345" s="15">
        <f t="shared" si="19"/>
        <v>145</v>
      </c>
      <c r="O345" s="15">
        <f t="shared" si="20"/>
        <v>4.37</v>
      </c>
      <c r="P345" s="15">
        <f>IF(G345,INDEX(monster!$J$2:$J$606,MATCH(skill!C345,monster!$A$2:$A$606,0)),Q345)</f>
        <v>1.2</v>
      </c>
      <c r="Q345" s="70"/>
      <c r="R345" s="33">
        <v>700</v>
      </c>
    </row>
    <row r="346" spans="1:18" s="38" customFormat="1" x14ac:dyDescent="0.15">
      <c r="A346" s="32">
        <v>10356</v>
      </c>
      <c r="B346" s="32" t="s">
        <v>1690</v>
      </c>
      <c r="C346" s="32">
        <v>1004</v>
      </c>
      <c r="D346" s="32">
        <v>3</v>
      </c>
      <c r="E346" s="15">
        <f>INDEX(monster!$H$2:$H$617,MATCH(skill!C346,monster!$A$2:$A$617,0))</f>
        <v>108.57</v>
      </c>
      <c r="F346" s="15">
        <f>INDEX(monster!$I$2:$I$617,MATCH(C346,monster!$A$2:$A$617,0))</f>
        <v>3.26</v>
      </c>
      <c r="G346" s="15" t="b">
        <f t="shared" si="18"/>
        <v>1</v>
      </c>
      <c r="H346" s="32">
        <v>0</v>
      </c>
      <c r="I346" s="15">
        <f>IF(H346&gt;0,HLOOKUP(R346/100,数值规划表!$B$37:$AA$39,3),1)</f>
        <v>1</v>
      </c>
      <c r="J346" s="31" t="s">
        <v>1625</v>
      </c>
      <c r="K346" s="15">
        <f>INDEX(数值规划表!$B$15:$B$18,MATCH(J346,攻击范围,0))</f>
        <v>1</v>
      </c>
      <c r="L346" s="47">
        <v>1.5</v>
      </c>
      <c r="M346" s="41">
        <v>0</v>
      </c>
      <c r="N346" s="15">
        <f t="shared" si="19"/>
        <v>163</v>
      </c>
      <c r="O346" s="15">
        <f t="shared" si="20"/>
        <v>4.8899999999999997</v>
      </c>
      <c r="P346" s="15">
        <f>IF(G346,INDEX(monster!$J$2:$J$606,MATCH(skill!C346,monster!$A$2:$A$606,0)),Q346)</f>
        <v>1.2</v>
      </c>
      <c r="Q346" s="70"/>
      <c r="R346" s="33">
        <v>700</v>
      </c>
    </row>
    <row r="347" spans="1:18" s="38" customFormat="1" x14ac:dyDescent="0.15">
      <c r="A347" s="32">
        <v>10357</v>
      </c>
      <c r="B347" s="32" t="s">
        <v>1691</v>
      </c>
      <c r="C347" s="32">
        <v>1005</v>
      </c>
      <c r="D347" s="32">
        <v>4</v>
      </c>
      <c r="E347" s="15">
        <f>INDEX(monster!$H$2:$H$617,MATCH(skill!C347,monster!$A$2:$A$617,0))</f>
        <v>121.6</v>
      </c>
      <c r="F347" s="15">
        <f>INDEX(monster!$I$2:$I$617,MATCH(C347,monster!$A$2:$A$617,0))</f>
        <v>3.65</v>
      </c>
      <c r="G347" s="15" t="b">
        <f t="shared" si="18"/>
        <v>1</v>
      </c>
      <c r="H347" s="32">
        <v>0</v>
      </c>
      <c r="I347" s="15">
        <f>IF(H347&gt;0,HLOOKUP(R347/100,数值规划表!$B$37:$AA$39,3),1)</f>
        <v>1</v>
      </c>
      <c r="J347" s="31" t="s">
        <v>1625</v>
      </c>
      <c r="K347" s="15">
        <f>INDEX(数值规划表!$B$15:$B$18,MATCH(J347,攻击范围,0))</f>
        <v>1</v>
      </c>
      <c r="L347" s="47">
        <v>1.5</v>
      </c>
      <c r="M347" s="41">
        <v>0</v>
      </c>
      <c r="N347" s="15">
        <f t="shared" si="19"/>
        <v>182</v>
      </c>
      <c r="O347" s="15">
        <f t="shared" si="20"/>
        <v>5.48</v>
      </c>
      <c r="P347" s="15">
        <f>IF(G347,INDEX(monster!$J$2:$J$606,MATCH(skill!C347,monster!$A$2:$A$606,0)),Q347)</f>
        <v>1.2</v>
      </c>
      <c r="Q347" s="70"/>
      <c r="R347" s="33">
        <v>700</v>
      </c>
    </row>
    <row r="348" spans="1:18" s="38" customFormat="1" x14ac:dyDescent="0.15">
      <c r="A348" s="32">
        <v>10358</v>
      </c>
      <c r="B348" s="32" t="s">
        <v>1692</v>
      </c>
      <c r="C348" s="32">
        <v>1006</v>
      </c>
      <c r="D348" s="32">
        <v>5</v>
      </c>
      <c r="E348" s="15">
        <f>INDEX(monster!$H$2:$H$617,MATCH(skill!C348,monster!$A$2:$A$617,0))</f>
        <v>136.19</v>
      </c>
      <c r="F348" s="15">
        <f>INDEX(monster!$I$2:$I$617,MATCH(C348,monster!$A$2:$A$617,0))</f>
        <v>4.09</v>
      </c>
      <c r="G348" s="15" t="b">
        <f t="shared" si="18"/>
        <v>1</v>
      </c>
      <c r="H348" s="32">
        <v>0</v>
      </c>
      <c r="I348" s="15">
        <f>IF(H348&gt;0,HLOOKUP(R348/100,数值规划表!$B$37:$AA$39,3),1)</f>
        <v>1</v>
      </c>
      <c r="J348" s="31" t="s">
        <v>1625</v>
      </c>
      <c r="K348" s="15">
        <f>INDEX(数值规划表!$B$15:$B$18,MATCH(J348,攻击范围,0))</f>
        <v>1</v>
      </c>
      <c r="L348" s="47">
        <v>1.5</v>
      </c>
      <c r="M348" s="41">
        <v>0</v>
      </c>
      <c r="N348" s="15">
        <f t="shared" si="19"/>
        <v>204</v>
      </c>
      <c r="O348" s="15">
        <f t="shared" si="20"/>
        <v>6.14</v>
      </c>
      <c r="P348" s="15">
        <f>IF(G348,INDEX(monster!$J$2:$J$606,MATCH(skill!C348,monster!$A$2:$A$606,0)),Q348)</f>
        <v>1.2</v>
      </c>
      <c r="Q348" s="70"/>
      <c r="R348" s="33">
        <v>700</v>
      </c>
    </row>
    <row r="349" spans="1:18" s="38" customFormat="1" x14ac:dyDescent="0.15">
      <c r="A349" s="32">
        <v>10359</v>
      </c>
      <c r="B349" s="32" t="s">
        <v>1693</v>
      </c>
      <c r="C349" s="32">
        <v>1007</v>
      </c>
      <c r="D349" s="32">
        <v>6</v>
      </c>
      <c r="E349" s="15">
        <f>INDEX(monster!$H$2:$H$617,MATCH(skill!C349,monster!$A$2:$A$617,0))</f>
        <v>152.54</v>
      </c>
      <c r="F349" s="15">
        <f>INDEX(monster!$I$2:$I$617,MATCH(C349,monster!$A$2:$A$617,0))</f>
        <v>4.58</v>
      </c>
      <c r="G349" s="15" t="b">
        <f t="shared" si="18"/>
        <v>1</v>
      </c>
      <c r="H349" s="32">
        <v>0</v>
      </c>
      <c r="I349" s="15">
        <f>IF(H349&gt;0,HLOOKUP(R349/100,数值规划表!$B$37:$AA$39,3),1)</f>
        <v>1</v>
      </c>
      <c r="J349" s="31" t="s">
        <v>1625</v>
      </c>
      <c r="K349" s="15">
        <f>INDEX(数值规划表!$B$15:$B$18,MATCH(J349,攻击范围,0))</f>
        <v>1</v>
      </c>
      <c r="L349" s="47">
        <v>1.5</v>
      </c>
      <c r="M349" s="41">
        <v>0</v>
      </c>
      <c r="N349" s="15">
        <f t="shared" si="19"/>
        <v>229</v>
      </c>
      <c r="O349" s="15">
        <f t="shared" si="20"/>
        <v>6.87</v>
      </c>
      <c r="P349" s="15">
        <f>IF(G349,INDEX(monster!$J$2:$J$606,MATCH(skill!C349,monster!$A$2:$A$606,0)),Q349)</f>
        <v>1.2</v>
      </c>
      <c r="Q349" s="70"/>
      <c r="R349" s="33">
        <v>700</v>
      </c>
    </row>
    <row r="350" spans="1:18" s="38" customFormat="1" x14ac:dyDescent="0.15">
      <c r="A350" s="32">
        <v>10360</v>
      </c>
      <c r="B350" s="32" t="s">
        <v>1694</v>
      </c>
      <c r="C350" s="32">
        <v>1008</v>
      </c>
      <c r="D350" s="32">
        <v>7</v>
      </c>
      <c r="E350" s="15">
        <f>INDEX(monster!$H$2:$H$617,MATCH(skill!C350,monster!$A$2:$A$617,0))</f>
        <v>170.84</v>
      </c>
      <c r="F350" s="15">
        <f>INDEX(monster!$I$2:$I$617,MATCH(C350,monster!$A$2:$A$617,0))</f>
        <v>5.13</v>
      </c>
      <c r="G350" s="15" t="b">
        <f t="shared" si="18"/>
        <v>1</v>
      </c>
      <c r="H350" s="32">
        <v>0</v>
      </c>
      <c r="I350" s="15">
        <f>IF(H350&gt;0,HLOOKUP(R350/100,数值规划表!$B$37:$AA$39,3),1)</f>
        <v>1</v>
      </c>
      <c r="J350" s="31" t="s">
        <v>1625</v>
      </c>
      <c r="K350" s="15">
        <f>INDEX(数值规划表!$B$15:$B$18,MATCH(J350,攻击范围,0))</f>
        <v>1</v>
      </c>
      <c r="L350" s="47">
        <v>1.5</v>
      </c>
      <c r="M350" s="41">
        <v>0</v>
      </c>
      <c r="N350" s="15">
        <f t="shared" si="19"/>
        <v>256</v>
      </c>
      <c r="O350" s="15">
        <f t="shared" si="20"/>
        <v>7.7</v>
      </c>
      <c r="P350" s="15">
        <f>IF(G350,INDEX(monster!$J$2:$J$606,MATCH(skill!C350,monster!$A$2:$A$606,0)),Q350)</f>
        <v>1.2</v>
      </c>
      <c r="Q350" s="70"/>
      <c r="R350" s="33">
        <v>700</v>
      </c>
    </row>
    <row r="351" spans="1:18" s="38" customFormat="1" x14ac:dyDescent="0.15">
      <c r="A351" s="32">
        <v>10361</v>
      </c>
      <c r="B351" s="32" t="s">
        <v>1695</v>
      </c>
      <c r="C351" s="32">
        <v>1009</v>
      </c>
      <c r="D351" s="32">
        <v>8</v>
      </c>
      <c r="E351" s="15">
        <f>INDEX(monster!$H$2:$H$617,MATCH(skill!C351,monster!$A$2:$A$617,0))</f>
        <v>191.34</v>
      </c>
      <c r="F351" s="15">
        <f>INDEX(monster!$I$2:$I$617,MATCH(C351,monster!$A$2:$A$617,0))</f>
        <v>5.74</v>
      </c>
      <c r="G351" s="15" t="b">
        <f t="shared" si="18"/>
        <v>1</v>
      </c>
      <c r="H351" s="32">
        <v>0</v>
      </c>
      <c r="I351" s="15">
        <f>IF(H351&gt;0,HLOOKUP(R351/100,数值规划表!$B$37:$AA$39,3),1)</f>
        <v>1</v>
      </c>
      <c r="J351" s="31" t="s">
        <v>1625</v>
      </c>
      <c r="K351" s="15">
        <f>INDEX(数值规划表!$B$15:$B$18,MATCH(J351,攻击范围,0))</f>
        <v>1</v>
      </c>
      <c r="L351" s="47">
        <v>1.5</v>
      </c>
      <c r="M351" s="41">
        <v>0</v>
      </c>
      <c r="N351" s="15">
        <f t="shared" si="19"/>
        <v>287</v>
      </c>
      <c r="O351" s="15">
        <f t="shared" si="20"/>
        <v>8.61</v>
      </c>
      <c r="P351" s="15">
        <f>IF(G351,INDEX(monster!$J$2:$J$606,MATCH(skill!C351,monster!$A$2:$A$606,0)),Q351)</f>
        <v>1.2</v>
      </c>
      <c r="Q351" s="70"/>
      <c r="R351" s="33">
        <v>700</v>
      </c>
    </row>
    <row r="352" spans="1:18" s="38" customFormat="1" x14ac:dyDescent="0.15">
      <c r="A352" s="32">
        <v>10362</v>
      </c>
      <c r="B352" s="32" t="s">
        <v>1696</v>
      </c>
      <c r="C352" s="32">
        <v>1010</v>
      </c>
      <c r="D352" s="32">
        <v>9</v>
      </c>
      <c r="E352" s="15">
        <f>INDEX(monster!$H$2:$H$617,MATCH(skill!C352,monster!$A$2:$A$617,0))</f>
        <v>214.3</v>
      </c>
      <c r="F352" s="15">
        <f>INDEX(monster!$I$2:$I$617,MATCH(C352,monster!$A$2:$A$617,0))</f>
        <v>6.43</v>
      </c>
      <c r="G352" s="15" t="b">
        <f t="shared" si="18"/>
        <v>1</v>
      </c>
      <c r="H352" s="32">
        <v>0</v>
      </c>
      <c r="I352" s="15">
        <f>IF(H352&gt;0,HLOOKUP(R352/100,数值规划表!$B$37:$AA$39,3),1)</f>
        <v>1</v>
      </c>
      <c r="J352" s="31" t="s">
        <v>1625</v>
      </c>
      <c r="K352" s="15">
        <f>INDEX(数值规划表!$B$15:$B$18,MATCH(J352,攻击范围,0))</f>
        <v>1</v>
      </c>
      <c r="L352" s="47">
        <v>1.5</v>
      </c>
      <c r="M352" s="41">
        <v>0</v>
      </c>
      <c r="N352" s="15">
        <f t="shared" si="19"/>
        <v>321</v>
      </c>
      <c r="O352" s="15">
        <f t="shared" si="20"/>
        <v>9.65</v>
      </c>
      <c r="P352" s="15">
        <f>IF(G352,INDEX(monster!$J$2:$J$606,MATCH(skill!C352,monster!$A$2:$A$606,0)),Q352)</f>
        <v>1.2</v>
      </c>
      <c r="Q352" s="70"/>
      <c r="R352" s="33">
        <v>700</v>
      </c>
    </row>
    <row r="353" spans="1:18" s="38" customFormat="1" x14ac:dyDescent="0.15">
      <c r="A353" s="32">
        <v>10363</v>
      </c>
      <c r="B353" s="32" t="s">
        <v>1697</v>
      </c>
      <c r="C353" s="32">
        <v>1011</v>
      </c>
      <c r="D353" s="32">
        <v>10</v>
      </c>
      <c r="E353" s="15">
        <f>INDEX(monster!$H$2:$H$617,MATCH(skill!C353,monster!$A$2:$A$617,0))</f>
        <v>240.02</v>
      </c>
      <c r="F353" s="15">
        <f>INDEX(monster!$I$2:$I$617,MATCH(C353,monster!$A$2:$A$617,0))</f>
        <v>7.2</v>
      </c>
      <c r="G353" s="15" t="b">
        <f t="shared" si="18"/>
        <v>1</v>
      </c>
      <c r="H353" s="32">
        <v>0</v>
      </c>
      <c r="I353" s="15">
        <f>IF(H353&gt;0,HLOOKUP(R353/100,数值规划表!$B$37:$AA$39,3),1)</f>
        <v>1</v>
      </c>
      <c r="J353" s="31" t="s">
        <v>1625</v>
      </c>
      <c r="K353" s="15">
        <f>INDEX(数值规划表!$B$15:$B$18,MATCH(J353,攻击范围,0))</f>
        <v>1</v>
      </c>
      <c r="L353" s="47">
        <v>1.5</v>
      </c>
      <c r="M353" s="41">
        <v>0</v>
      </c>
      <c r="N353" s="15">
        <f t="shared" si="19"/>
        <v>360</v>
      </c>
      <c r="O353" s="15">
        <f t="shared" si="20"/>
        <v>10.8</v>
      </c>
      <c r="P353" s="15">
        <f>IF(G353,INDEX(monster!$J$2:$J$606,MATCH(skill!C353,monster!$A$2:$A$606,0)),Q353)</f>
        <v>1.2</v>
      </c>
      <c r="Q353" s="70"/>
      <c r="R353" s="33">
        <v>700</v>
      </c>
    </row>
    <row r="354" spans="1:18" s="38" customFormat="1" x14ac:dyDescent="0.15">
      <c r="A354" s="32">
        <v>10364</v>
      </c>
      <c r="B354" s="32" t="s">
        <v>2861</v>
      </c>
      <c r="C354" s="32">
        <v>1228</v>
      </c>
      <c r="D354" s="32">
        <v>0</v>
      </c>
      <c r="E354" s="15">
        <f>INDEX(monster!$H$2:$H$617,MATCH(skill!C354,monster!$A$2:$A$617,0))</f>
        <v>114.17</v>
      </c>
      <c r="F354" s="15">
        <f>INDEX(monster!$I$2:$I$617,MATCH(C354,monster!$A$2:$A$617,0))</f>
        <v>3.43</v>
      </c>
      <c r="G354" s="15" t="b">
        <f t="shared" si="18"/>
        <v>1</v>
      </c>
      <c r="H354" s="32">
        <v>1</v>
      </c>
      <c r="I354" s="15">
        <f>IF(H354&gt;0,HLOOKUP(R354/100,数值规划表!$B$37:$AA$39,3),1)</f>
        <v>1.296</v>
      </c>
      <c r="J354" s="31" t="s">
        <v>1625</v>
      </c>
      <c r="K354" s="15">
        <f>INDEX(数值规划表!$B$15:$B$18,MATCH(J354,攻击范围,0))</f>
        <v>1</v>
      </c>
      <c r="L354" s="30">
        <v>1</v>
      </c>
      <c r="M354" s="41">
        <v>0</v>
      </c>
      <c r="N354" s="15">
        <f t="shared" si="19"/>
        <v>148</v>
      </c>
      <c r="O354" s="15">
        <f t="shared" si="20"/>
        <v>4.45</v>
      </c>
      <c r="P354" s="15">
        <f>IF(G354,INDEX(monster!$J$2:$J$606,MATCH(skill!C354,monster!$A$2:$A$606,0)),Q354)</f>
        <v>1.2</v>
      </c>
      <c r="Q354" s="70"/>
      <c r="R354" s="33">
        <v>120</v>
      </c>
    </row>
    <row r="355" spans="1:18" s="38" customFormat="1" x14ac:dyDescent="0.15">
      <c r="A355" s="32">
        <v>10365</v>
      </c>
      <c r="B355" s="32" t="s">
        <v>2862</v>
      </c>
      <c r="C355" s="32">
        <v>1229</v>
      </c>
      <c r="D355" s="32">
        <v>1</v>
      </c>
      <c r="E355" s="15">
        <f>INDEX(monster!$H$2:$H$617,MATCH(skill!C355,monster!$A$2:$A$617,0))</f>
        <v>127.87</v>
      </c>
      <c r="F355" s="15">
        <f>INDEX(monster!$I$2:$I$617,MATCH(C355,monster!$A$2:$A$617,0))</f>
        <v>3.84</v>
      </c>
      <c r="G355" s="15" t="b">
        <f t="shared" si="18"/>
        <v>1</v>
      </c>
      <c r="H355" s="32">
        <v>1</v>
      </c>
      <c r="I355" s="15">
        <f>IF(H355&gt;0,HLOOKUP(R355/100,数值规划表!$B$37:$AA$39,3),1)</f>
        <v>1.296</v>
      </c>
      <c r="J355" s="31" t="s">
        <v>1625</v>
      </c>
      <c r="K355" s="15">
        <f>INDEX(数值规划表!$B$15:$B$18,MATCH(J355,攻击范围,0))</f>
        <v>1</v>
      </c>
      <c r="L355" s="30">
        <v>1</v>
      </c>
      <c r="M355" s="41">
        <v>0</v>
      </c>
      <c r="N355" s="15">
        <f t="shared" si="19"/>
        <v>166</v>
      </c>
      <c r="O355" s="15">
        <f t="shared" si="20"/>
        <v>4.9800000000000004</v>
      </c>
      <c r="P355" s="15">
        <f>IF(G355,INDEX(monster!$J$2:$J$606,MATCH(skill!C355,monster!$A$2:$A$606,0)),Q355)</f>
        <v>1.2</v>
      </c>
      <c r="Q355" s="70"/>
      <c r="R355" s="33">
        <v>120</v>
      </c>
    </row>
    <row r="356" spans="1:18" s="38" customFormat="1" x14ac:dyDescent="0.15">
      <c r="A356" s="32">
        <v>10366</v>
      </c>
      <c r="B356" s="32" t="s">
        <v>819</v>
      </c>
      <c r="C356" s="32">
        <v>1230</v>
      </c>
      <c r="D356" s="32">
        <v>2</v>
      </c>
      <c r="E356" s="15">
        <f>INDEX(monster!$H$2:$H$617,MATCH(skill!C356,monster!$A$2:$A$617,0))</f>
        <v>143.21</v>
      </c>
      <c r="F356" s="15">
        <f>INDEX(monster!$I$2:$I$617,MATCH(C356,monster!$A$2:$A$617,0))</f>
        <v>4.3</v>
      </c>
      <c r="G356" s="15" t="b">
        <f t="shared" si="18"/>
        <v>1</v>
      </c>
      <c r="H356" s="32">
        <v>1</v>
      </c>
      <c r="I356" s="15">
        <f>IF(H356&gt;0,HLOOKUP(R356/100,数值规划表!$B$37:$AA$39,3),1)</f>
        <v>1.296</v>
      </c>
      <c r="J356" s="31" t="s">
        <v>1625</v>
      </c>
      <c r="K356" s="15">
        <f>INDEX(数值规划表!$B$15:$B$18,MATCH(J356,攻击范围,0))</f>
        <v>1</v>
      </c>
      <c r="L356" s="30">
        <v>1</v>
      </c>
      <c r="M356" s="41">
        <v>0</v>
      </c>
      <c r="N356" s="15">
        <f t="shared" si="19"/>
        <v>186</v>
      </c>
      <c r="O356" s="15">
        <f t="shared" si="20"/>
        <v>5.57</v>
      </c>
      <c r="P356" s="15">
        <f>IF(G356,INDEX(monster!$J$2:$J$606,MATCH(skill!C356,monster!$A$2:$A$606,0)),Q356)</f>
        <v>1.2</v>
      </c>
      <c r="Q356" s="70"/>
      <c r="R356" s="33">
        <v>120</v>
      </c>
    </row>
    <row r="357" spans="1:18" s="38" customFormat="1" x14ac:dyDescent="0.15">
      <c r="A357" s="32">
        <v>10367</v>
      </c>
      <c r="B357" s="32" t="s">
        <v>820</v>
      </c>
      <c r="C357" s="32">
        <v>1231</v>
      </c>
      <c r="D357" s="32">
        <v>3</v>
      </c>
      <c r="E357" s="15">
        <f>INDEX(monster!$H$2:$H$617,MATCH(skill!C357,monster!$A$2:$A$617,0))</f>
        <v>160.4</v>
      </c>
      <c r="F357" s="15">
        <f>INDEX(monster!$I$2:$I$617,MATCH(C357,monster!$A$2:$A$617,0))</f>
        <v>4.8099999999999996</v>
      </c>
      <c r="G357" s="15" t="b">
        <f t="shared" si="18"/>
        <v>1</v>
      </c>
      <c r="H357" s="32">
        <v>1</v>
      </c>
      <c r="I357" s="15">
        <f>IF(H357&gt;0,HLOOKUP(R357/100,数值规划表!$B$37:$AA$39,3),1)</f>
        <v>1.296</v>
      </c>
      <c r="J357" s="31" t="s">
        <v>1625</v>
      </c>
      <c r="K357" s="15">
        <f>INDEX(数值规划表!$B$15:$B$18,MATCH(J357,攻击范围,0))</f>
        <v>1</v>
      </c>
      <c r="L357" s="30">
        <v>1</v>
      </c>
      <c r="M357" s="41">
        <v>0</v>
      </c>
      <c r="N357" s="15">
        <f t="shared" si="19"/>
        <v>208</v>
      </c>
      <c r="O357" s="15">
        <f t="shared" si="20"/>
        <v>6.23</v>
      </c>
      <c r="P357" s="15">
        <f>IF(G357,INDEX(monster!$J$2:$J$606,MATCH(skill!C357,monster!$A$2:$A$606,0)),Q357)</f>
        <v>1.2</v>
      </c>
      <c r="Q357" s="70"/>
      <c r="R357" s="33">
        <v>120</v>
      </c>
    </row>
    <row r="358" spans="1:18" s="38" customFormat="1" x14ac:dyDescent="0.15">
      <c r="A358" s="32">
        <v>10368</v>
      </c>
      <c r="B358" s="32" t="s">
        <v>821</v>
      </c>
      <c r="C358" s="32">
        <v>1232</v>
      </c>
      <c r="D358" s="32">
        <v>4</v>
      </c>
      <c r="E358" s="15">
        <f>INDEX(monster!$H$2:$H$617,MATCH(skill!C358,monster!$A$2:$A$617,0))</f>
        <v>179.65</v>
      </c>
      <c r="F358" s="15">
        <f>INDEX(monster!$I$2:$I$617,MATCH(C358,monster!$A$2:$A$617,0))</f>
        <v>5.39</v>
      </c>
      <c r="G358" s="15" t="b">
        <f t="shared" si="18"/>
        <v>1</v>
      </c>
      <c r="H358" s="32">
        <v>1</v>
      </c>
      <c r="I358" s="15">
        <f>IF(H358&gt;0,HLOOKUP(R358/100,数值规划表!$B$37:$AA$39,3),1)</f>
        <v>1.296</v>
      </c>
      <c r="J358" s="31" t="s">
        <v>1625</v>
      </c>
      <c r="K358" s="15">
        <f>INDEX(数值规划表!$B$15:$B$18,MATCH(J358,攻击范围,0))</f>
        <v>1</v>
      </c>
      <c r="L358" s="30">
        <v>1</v>
      </c>
      <c r="M358" s="41">
        <v>0</v>
      </c>
      <c r="N358" s="15">
        <f t="shared" si="19"/>
        <v>233</v>
      </c>
      <c r="O358" s="15">
        <f t="shared" si="20"/>
        <v>6.99</v>
      </c>
      <c r="P358" s="15">
        <f>IF(G358,INDEX(monster!$J$2:$J$606,MATCH(skill!C358,monster!$A$2:$A$606,0)),Q358)</f>
        <v>1.2</v>
      </c>
      <c r="Q358" s="70"/>
      <c r="R358" s="33">
        <v>120</v>
      </c>
    </row>
    <row r="359" spans="1:18" s="38" customFormat="1" x14ac:dyDescent="0.15">
      <c r="A359" s="32">
        <v>10369</v>
      </c>
      <c r="B359" s="32" t="s">
        <v>822</v>
      </c>
      <c r="C359" s="32">
        <v>1233</v>
      </c>
      <c r="D359" s="32">
        <v>5</v>
      </c>
      <c r="E359" s="15">
        <f>INDEX(monster!$H$2:$H$617,MATCH(skill!C359,monster!$A$2:$A$617,0))</f>
        <v>201.21</v>
      </c>
      <c r="F359" s="15">
        <f>INDEX(monster!$I$2:$I$617,MATCH(C359,monster!$A$2:$A$617,0))</f>
        <v>6.04</v>
      </c>
      <c r="G359" s="15" t="b">
        <f t="shared" si="18"/>
        <v>1</v>
      </c>
      <c r="H359" s="32">
        <v>1</v>
      </c>
      <c r="I359" s="15">
        <f>IF(H359&gt;0,HLOOKUP(R359/100,数值规划表!$B$37:$AA$39,3),1)</f>
        <v>1.296</v>
      </c>
      <c r="J359" s="31" t="s">
        <v>1625</v>
      </c>
      <c r="K359" s="15">
        <f>INDEX(数值规划表!$B$15:$B$18,MATCH(J359,攻击范围,0))</f>
        <v>1</v>
      </c>
      <c r="L359" s="30">
        <v>1</v>
      </c>
      <c r="M359" s="41">
        <v>0</v>
      </c>
      <c r="N359" s="15">
        <f t="shared" si="19"/>
        <v>261</v>
      </c>
      <c r="O359" s="15">
        <f t="shared" si="20"/>
        <v>7.83</v>
      </c>
      <c r="P359" s="15">
        <f>IF(G359,INDEX(monster!$J$2:$J$606,MATCH(skill!C359,monster!$A$2:$A$606,0)),Q359)</f>
        <v>1.2</v>
      </c>
      <c r="Q359" s="70"/>
      <c r="R359" s="33">
        <v>120</v>
      </c>
    </row>
    <row r="360" spans="1:18" s="38" customFormat="1" x14ac:dyDescent="0.15">
      <c r="A360" s="32">
        <v>10370</v>
      </c>
      <c r="B360" s="32" t="s">
        <v>823</v>
      </c>
      <c r="C360" s="32">
        <v>1234</v>
      </c>
      <c r="D360" s="32">
        <v>6</v>
      </c>
      <c r="E360" s="15">
        <f>INDEX(monster!$H$2:$H$617,MATCH(skill!C360,monster!$A$2:$A$617,0))</f>
        <v>225.35</v>
      </c>
      <c r="F360" s="15">
        <f>INDEX(monster!$I$2:$I$617,MATCH(C360,monster!$A$2:$A$617,0))</f>
        <v>6.76</v>
      </c>
      <c r="G360" s="15" t="b">
        <f t="shared" si="18"/>
        <v>1</v>
      </c>
      <c r="H360" s="32">
        <v>1</v>
      </c>
      <c r="I360" s="15">
        <f>IF(H360&gt;0,HLOOKUP(R360/100,数值规划表!$B$37:$AA$39,3),1)</f>
        <v>1.296</v>
      </c>
      <c r="J360" s="31" t="s">
        <v>1625</v>
      </c>
      <c r="K360" s="15">
        <f>INDEX(数值规划表!$B$15:$B$18,MATCH(J360,攻击范围,0))</f>
        <v>1</v>
      </c>
      <c r="L360" s="30">
        <v>1</v>
      </c>
      <c r="M360" s="41">
        <v>0</v>
      </c>
      <c r="N360" s="15">
        <f t="shared" si="19"/>
        <v>292</v>
      </c>
      <c r="O360" s="15">
        <f t="shared" si="20"/>
        <v>8.76</v>
      </c>
      <c r="P360" s="15">
        <f>IF(G360,INDEX(monster!$J$2:$J$606,MATCH(skill!C360,monster!$A$2:$A$606,0)),Q360)</f>
        <v>1.2</v>
      </c>
      <c r="Q360" s="70"/>
      <c r="R360" s="33">
        <v>120</v>
      </c>
    </row>
    <row r="361" spans="1:18" s="38" customFormat="1" x14ac:dyDescent="0.15">
      <c r="A361" s="32">
        <v>10371</v>
      </c>
      <c r="B361" s="32" t="s">
        <v>824</v>
      </c>
      <c r="C361" s="32">
        <v>1235</v>
      </c>
      <c r="D361" s="32">
        <v>7</v>
      </c>
      <c r="E361" s="15">
        <f>INDEX(monster!$H$2:$H$617,MATCH(skill!C361,monster!$A$2:$A$617,0))</f>
        <v>252.39</v>
      </c>
      <c r="F361" s="15">
        <f>INDEX(monster!$I$2:$I$617,MATCH(C361,monster!$A$2:$A$617,0))</f>
        <v>7.57</v>
      </c>
      <c r="G361" s="15" t="b">
        <f t="shared" si="18"/>
        <v>1</v>
      </c>
      <c r="H361" s="32">
        <v>1</v>
      </c>
      <c r="I361" s="15">
        <f>IF(H361&gt;0,HLOOKUP(R361/100,数值规划表!$B$37:$AA$39,3),1)</f>
        <v>1.296</v>
      </c>
      <c r="J361" s="31" t="s">
        <v>1625</v>
      </c>
      <c r="K361" s="15">
        <f>INDEX(数值规划表!$B$15:$B$18,MATCH(J361,攻击范围,0))</f>
        <v>1</v>
      </c>
      <c r="L361" s="30">
        <v>1</v>
      </c>
      <c r="M361" s="41">
        <v>0</v>
      </c>
      <c r="N361" s="15">
        <f t="shared" si="19"/>
        <v>327</v>
      </c>
      <c r="O361" s="15">
        <f t="shared" si="20"/>
        <v>9.81</v>
      </c>
      <c r="P361" s="15">
        <f>IF(G361,INDEX(monster!$J$2:$J$606,MATCH(skill!C361,monster!$A$2:$A$606,0)),Q361)</f>
        <v>1.2</v>
      </c>
      <c r="Q361" s="70"/>
      <c r="R361" s="33">
        <v>120</v>
      </c>
    </row>
    <row r="362" spans="1:18" s="38" customFormat="1" x14ac:dyDescent="0.15">
      <c r="A362" s="32">
        <v>10372</v>
      </c>
      <c r="B362" s="32" t="s">
        <v>825</v>
      </c>
      <c r="C362" s="32">
        <v>1236</v>
      </c>
      <c r="D362" s="32">
        <v>8</v>
      </c>
      <c r="E362" s="15">
        <f>INDEX(monster!$H$2:$H$617,MATCH(skill!C362,monster!$A$2:$A$617,0))</f>
        <v>282.68</v>
      </c>
      <c r="F362" s="15">
        <f>INDEX(monster!$I$2:$I$617,MATCH(C362,monster!$A$2:$A$617,0))</f>
        <v>8.48</v>
      </c>
      <c r="G362" s="15" t="b">
        <f t="shared" si="18"/>
        <v>1</v>
      </c>
      <c r="H362" s="32">
        <v>1</v>
      </c>
      <c r="I362" s="15">
        <f>IF(H362&gt;0,HLOOKUP(R362/100,数值规划表!$B$37:$AA$39,3),1)</f>
        <v>1.296</v>
      </c>
      <c r="J362" s="31" t="s">
        <v>1625</v>
      </c>
      <c r="K362" s="15">
        <f>INDEX(数值规划表!$B$15:$B$18,MATCH(J362,攻击范围,0))</f>
        <v>1</v>
      </c>
      <c r="L362" s="30">
        <v>1</v>
      </c>
      <c r="M362" s="41">
        <v>0</v>
      </c>
      <c r="N362" s="15">
        <f t="shared" si="19"/>
        <v>366</v>
      </c>
      <c r="O362" s="15">
        <f t="shared" si="20"/>
        <v>10.99</v>
      </c>
      <c r="P362" s="15">
        <f>IF(G362,INDEX(monster!$J$2:$J$606,MATCH(skill!C362,monster!$A$2:$A$606,0)),Q362)</f>
        <v>1.2</v>
      </c>
      <c r="Q362" s="70"/>
      <c r="R362" s="33">
        <v>120</v>
      </c>
    </row>
    <row r="363" spans="1:18" s="38" customFormat="1" x14ac:dyDescent="0.15">
      <c r="A363" s="32">
        <v>10373</v>
      </c>
      <c r="B363" s="32" t="s">
        <v>826</v>
      </c>
      <c r="C363" s="32">
        <v>1237</v>
      </c>
      <c r="D363" s="32">
        <v>9</v>
      </c>
      <c r="E363" s="15">
        <f>INDEX(monster!$H$2:$H$617,MATCH(skill!C363,monster!$A$2:$A$617,0))</f>
        <v>316.60000000000002</v>
      </c>
      <c r="F363" s="15">
        <f>INDEX(monster!$I$2:$I$617,MATCH(C363,monster!$A$2:$A$617,0))</f>
        <v>9.5</v>
      </c>
      <c r="G363" s="15" t="b">
        <f t="shared" si="18"/>
        <v>1</v>
      </c>
      <c r="H363" s="32">
        <v>1</v>
      </c>
      <c r="I363" s="15">
        <f>IF(H363&gt;0,HLOOKUP(R363/100,数值规划表!$B$37:$AA$39,3),1)</f>
        <v>1.296</v>
      </c>
      <c r="J363" s="31" t="s">
        <v>1625</v>
      </c>
      <c r="K363" s="15">
        <f>INDEX(数值规划表!$B$15:$B$18,MATCH(J363,攻击范围,0))</f>
        <v>1</v>
      </c>
      <c r="L363" s="30">
        <v>1</v>
      </c>
      <c r="M363" s="41">
        <v>0</v>
      </c>
      <c r="N363" s="15">
        <f t="shared" si="19"/>
        <v>410</v>
      </c>
      <c r="O363" s="15">
        <f t="shared" si="20"/>
        <v>12.31</v>
      </c>
      <c r="P363" s="15">
        <f>IF(G363,INDEX(monster!$J$2:$J$606,MATCH(skill!C363,monster!$A$2:$A$606,0)),Q363)</f>
        <v>1.2</v>
      </c>
      <c r="Q363" s="70"/>
      <c r="R363" s="33">
        <v>120</v>
      </c>
    </row>
    <row r="364" spans="1:18" s="38" customFormat="1" x14ac:dyDescent="0.15">
      <c r="A364" s="32">
        <v>10374</v>
      </c>
      <c r="B364" s="32" t="s">
        <v>827</v>
      </c>
      <c r="C364" s="32">
        <v>1238</v>
      </c>
      <c r="D364" s="32">
        <v>10</v>
      </c>
      <c r="E364" s="15">
        <f>INDEX(monster!$H$2:$H$617,MATCH(skill!C364,monster!$A$2:$A$617,0))</f>
        <v>354.59</v>
      </c>
      <c r="F364" s="15">
        <f>INDEX(monster!$I$2:$I$617,MATCH(C364,monster!$A$2:$A$617,0))</f>
        <v>10.64</v>
      </c>
      <c r="G364" s="15" t="b">
        <f t="shared" si="18"/>
        <v>1</v>
      </c>
      <c r="H364" s="32">
        <v>1</v>
      </c>
      <c r="I364" s="15">
        <f>IF(H364&gt;0,HLOOKUP(R364/100,数值规划表!$B$37:$AA$39,3),1)</f>
        <v>1.296</v>
      </c>
      <c r="J364" s="31" t="s">
        <v>1625</v>
      </c>
      <c r="K364" s="15">
        <f>INDEX(数值规划表!$B$15:$B$18,MATCH(J364,攻击范围,0))</f>
        <v>1</v>
      </c>
      <c r="L364" s="30">
        <v>1</v>
      </c>
      <c r="M364" s="41">
        <v>0</v>
      </c>
      <c r="N364" s="15">
        <f t="shared" si="19"/>
        <v>460</v>
      </c>
      <c r="O364" s="15">
        <f t="shared" si="20"/>
        <v>13.79</v>
      </c>
      <c r="P364" s="15">
        <f>IF(G364,INDEX(monster!$J$2:$J$606,MATCH(skill!C364,monster!$A$2:$A$606,0)),Q364)</f>
        <v>1.2</v>
      </c>
      <c r="Q364" s="70"/>
      <c r="R364" s="33">
        <v>120</v>
      </c>
    </row>
    <row r="365" spans="1:18" s="38" customFormat="1" x14ac:dyDescent="0.15">
      <c r="A365" s="32">
        <v>10386</v>
      </c>
      <c r="B365" s="32" t="s">
        <v>2863</v>
      </c>
      <c r="C365" s="32">
        <v>1239</v>
      </c>
      <c r="D365" s="32">
        <v>0</v>
      </c>
      <c r="E365" s="15">
        <f>INDEX(monster!$H$2:$H$617,MATCH(skill!C365,monster!$A$2:$A$617,0))</f>
        <v>30.51</v>
      </c>
      <c r="F365" s="15">
        <f>INDEX(monster!$I$2:$I$617,MATCH(C365,monster!$A$2:$A$617,0))</f>
        <v>0.92</v>
      </c>
      <c r="G365" s="15" t="b">
        <f t="shared" ref="G365:G416" si="22">ISNUMBER(FIND("普攻",B365))</f>
        <v>1</v>
      </c>
      <c r="H365" s="32">
        <v>1</v>
      </c>
      <c r="I365" s="15">
        <f>IF(H365&gt;0,HLOOKUP(R365/100,数值规划表!$B$37:$AA$39,3),1)</f>
        <v>1</v>
      </c>
      <c r="J365" s="31" t="s">
        <v>1625</v>
      </c>
      <c r="K365" s="15">
        <f>INDEX(数值规划表!$B$15:$B$18,MATCH(J365,攻击范围,0))</f>
        <v>1</v>
      </c>
      <c r="L365" s="30">
        <v>0.7</v>
      </c>
      <c r="M365" s="41">
        <v>0</v>
      </c>
      <c r="N365" s="15">
        <f t="shared" si="19"/>
        <v>21</v>
      </c>
      <c r="O365" s="15">
        <f t="shared" si="20"/>
        <v>0.64</v>
      </c>
      <c r="P365" s="15">
        <f>IF(G365,INDEX(monster!$J$2:$J$606,MATCH(skill!C365,monster!$A$2:$A$606,0)),Q365)</f>
        <v>1.2</v>
      </c>
      <c r="Q365" s="70"/>
      <c r="R365" s="33">
        <v>100</v>
      </c>
    </row>
    <row r="366" spans="1:18" s="38" customFormat="1" x14ac:dyDescent="0.15">
      <c r="A366" s="32">
        <v>10387</v>
      </c>
      <c r="B366" s="32" t="s">
        <v>2864</v>
      </c>
      <c r="C366" s="32">
        <v>1240</v>
      </c>
      <c r="D366" s="32">
        <v>1</v>
      </c>
      <c r="E366" s="15">
        <f>INDEX(monster!$H$2:$H$617,MATCH(skill!C366,monster!$A$2:$A$617,0))</f>
        <v>34.17</v>
      </c>
      <c r="F366" s="15">
        <f>INDEX(monster!$I$2:$I$617,MATCH(C366,monster!$A$2:$A$617,0))</f>
        <v>1.03</v>
      </c>
      <c r="G366" s="15" t="b">
        <f t="shared" si="22"/>
        <v>1</v>
      </c>
      <c r="H366" s="32">
        <v>1</v>
      </c>
      <c r="I366" s="15">
        <f>IF(H366&gt;0,HLOOKUP(R366/100,数值规划表!$B$37:$AA$39,3),1)</f>
        <v>1</v>
      </c>
      <c r="J366" s="31" t="s">
        <v>1625</v>
      </c>
      <c r="K366" s="15">
        <f>INDEX(数值规划表!$B$15:$B$18,MATCH(J366,攻击范围,0))</f>
        <v>1</v>
      </c>
      <c r="L366" s="70">
        <v>0.7</v>
      </c>
      <c r="M366" s="41">
        <v>0</v>
      </c>
      <c r="N366" s="15">
        <f t="shared" si="19"/>
        <v>24</v>
      </c>
      <c r="O366" s="15">
        <f t="shared" si="20"/>
        <v>0.72</v>
      </c>
      <c r="P366" s="15">
        <f>IF(G366,INDEX(monster!$J$2:$J$606,MATCH(skill!C366,monster!$A$2:$A$606,0)),Q366)</f>
        <v>1.2</v>
      </c>
      <c r="Q366" s="70"/>
      <c r="R366" s="33">
        <v>100</v>
      </c>
    </row>
    <row r="367" spans="1:18" s="38" customFormat="1" x14ac:dyDescent="0.15">
      <c r="A367" s="32">
        <v>10388</v>
      </c>
      <c r="B367" s="32" t="s">
        <v>828</v>
      </c>
      <c r="C367" s="32">
        <v>1241</v>
      </c>
      <c r="D367" s="32">
        <v>2</v>
      </c>
      <c r="E367" s="15">
        <f>INDEX(monster!$H$2:$H$617,MATCH(skill!C367,monster!$A$2:$A$617,0))</f>
        <v>38.270000000000003</v>
      </c>
      <c r="F367" s="15">
        <f>INDEX(monster!$I$2:$I$617,MATCH(C367,monster!$A$2:$A$617,0))</f>
        <v>1.1499999999999999</v>
      </c>
      <c r="G367" s="15" t="b">
        <f t="shared" si="22"/>
        <v>1</v>
      </c>
      <c r="H367" s="32">
        <v>1</v>
      </c>
      <c r="I367" s="15">
        <f>IF(H367&gt;0,HLOOKUP(R367/100,数值规划表!$B$37:$AA$39,3),1)</f>
        <v>1</v>
      </c>
      <c r="J367" s="31" t="s">
        <v>1625</v>
      </c>
      <c r="K367" s="15">
        <f>INDEX(数值规划表!$B$15:$B$18,MATCH(J367,攻击范围,0))</f>
        <v>1</v>
      </c>
      <c r="L367" s="70">
        <v>0.7</v>
      </c>
      <c r="M367" s="41">
        <v>0</v>
      </c>
      <c r="N367" s="15">
        <f t="shared" si="19"/>
        <v>27</v>
      </c>
      <c r="O367" s="15">
        <f t="shared" si="20"/>
        <v>0.81</v>
      </c>
      <c r="P367" s="15">
        <f>IF(G367,INDEX(monster!$J$2:$J$606,MATCH(skill!C367,monster!$A$2:$A$606,0)),Q367)</f>
        <v>1.2</v>
      </c>
      <c r="Q367" s="70"/>
      <c r="R367" s="33">
        <v>100</v>
      </c>
    </row>
    <row r="368" spans="1:18" s="38" customFormat="1" x14ac:dyDescent="0.15">
      <c r="A368" s="32">
        <v>10389</v>
      </c>
      <c r="B368" s="32" t="s">
        <v>829</v>
      </c>
      <c r="C368" s="32">
        <v>1242</v>
      </c>
      <c r="D368" s="32">
        <v>3</v>
      </c>
      <c r="E368" s="15">
        <f>INDEX(monster!$H$2:$H$617,MATCH(skill!C368,monster!$A$2:$A$617,0))</f>
        <v>42.86</v>
      </c>
      <c r="F368" s="15">
        <f>INDEX(monster!$I$2:$I$617,MATCH(C368,monster!$A$2:$A$617,0))</f>
        <v>1.29</v>
      </c>
      <c r="G368" s="15" t="b">
        <f t="shared" si="22"/>
        <v>1</v>
      </c>
      <c r="H368" s="32">
        <v>1</v>
      </c>
      <c r="I368" s="15">
        <f>IF(H368&gt;0,HLOOKUP(R368/100,数值规划表!$B$37:$AA$39,3),1)</f>
        <v>1</v>
      </c>
      <c r="J368" s="31" t="s">
        <v>1625</v>
      </c>
      <c r="K368" s="15">
        <f>INDEX(数值规划表!$B$15:$B$18,MATCH(J368,攻击范围,0))</f>
        <v>1</v>
      </c>
      <c r="L368" s="70">
        <v>0.7</v>
      </c>
      <c r="M368" s="41">
        <v>0</v>
      </c>
      <c r="N368" s="15">
        <f t="shared" si="19"/>
        <v>30</v>
      </c>
      <c r="O368" s="15">
        <f t="shared" si="20"/>
        <v>0.9</v>
      </c>
      <c r="P368" s="15">
        <f>IF(G368,INDEX(monster!$J$2:$J$606,MATCH(skill!C368,monster!$A$2:$A$606,0)),Q368)</f>
        <v>1.2</v>
      </c>
      <c r="Q368" s="70"/>
      <c r="R368" s="33">
        <v>100</v>
      </c>
    </row>
    <row r="369" spans="1:18" s="38" customFormat="1" x14ac:dyDescent="0.15">
      <c r="A369" s="32">
        <v>10390</v>
      </c>
      <c r="B369" s="32" t="s">
        <v>830</v>
      </c>
      <c r="C369" s="32">
        <v>1243</v>
      </c>
      <c r="D369" s="32">
        <v>4</v>
      </c>
      <c r="E369" s="15">
        <f>INDEX(monster!$H$2:$H$617,MATCH(skill!C369,monster!$A$2:$A$617,0))</f>
        <v>48.01</v>
      </c>
      <c r="F369" s="15">
        <f>INDEX(monster!$I$2:$I$617,MATCH(C369,monster!$A$2:$A$617,0))</f>
        <v>1.44</v>
      </c>
      <c r="G369" s="15" t="b">
        <f t="shared" si="22"/>
        <v>1</v>
      </c>
      <c r="H369" s="32">
        <v>1</v>
      </c>
      <c r="I369" s="15">
        <f>IF(H369&gt;0,HLOOKUP(R369/100,数值规划表!$B$37:$AA$39,3),1)</f>
        <v>1</v>
      </c>
      <c r="J369" s="31" t="s">
        <v>1625</v>
      </c>
      <c r="K369" s="15">
        <f>INDEX(数值规划表!$B$15:$B$18,MATCH(J369,攻击范围,0))</f>
        <v>1</v>
      </c>
      <c r="L369" s="70">
        <v>0.7</v>
      </c>
      <c r="M369" s="41">
        <v>0</v>
      </c>
      <c r="N369" s="15">
        <f t="shared" si="19"/>
        <v>34</v>
      </c>
      <c r="O369" s="15">
        <f t="shared" si="20"/>
        <v>1.01</v>
      </c>
      <c r="P369" s="15">
        <f>IF(G369,INDEX(monster!$J$2:$J$606,MATCH(skill!C369,monster!$A$2:$A$606,0)),Q369)</f>
        <v>1.2</v>
      </c>
      <c r="Q369" s="70"/>
      <c r="R369" s="33">
        <v>100</v>
      </c>
    </row>
    <row r="370" spans="1:18" s="38" customFormat="1" x14ac:dyDescent="0.15">
      <c r="A370" s="32">
        <v>10391</v>
      </c>
      <c r="B370" s="32" t="s">
        <v>831</v>
      </c>
      <c r="C370" s="32">
        <v>1244</v>
      </c>
      <c r="D370" s="32">
        <v>5</v>
      </c>
      <c r="E370" s="15">
        <f>INDEX(monster!$H$2:$H$617,MATCH(skill!C370,monster!$A$2:$A$617,0))</f>
        <v>53.77</v>
      </c>
      <c r="F370" s="15">
        <f>INDEX(monster!$I$2:$I$617,MATCH(C370,monster!$A$2:$A$617,0))</f>
        <v>1.61</v>
      </c>
      <c r="G370" s="15" t="b">
        <f t="shared" si="22"/>
        <v>1</v>
      </c>
      <c r="H370" s="32">
        <v>1</v>
      </c>
      <c r="I370" s="15">
        <f>IF(H370&gt;0,HLOOKUP(R370/100,数值规划表!$B$37:$AA$39,3),1)</f>
        <v>1</v>
      </c>
      <c r="J370" s="31" t="s">
        <v>1625</v>
      </c>
      <c r="K370" s="15">
        <f>INDEX(数值规划表!$B$15:$B$18,MATCH(J370,攻击范围,0))</f>
        <v>1</v>
      </c>
      <c r="L370" s="70">
        <v>0.7</v>
      </c>
      <c r="M370" s="41">
        <v>0</v>
      </c>
      <c r="N370" s="15">
        <f t="shared" si="19"/>
        <v>38</v>
      </c>
      <c r="O370" s="15">
        <f t="shared" si="20"/>
        <v>1.1299999999999999</v>
      </c>
      <c r="P370" s="15">
        <f>IF(G370,INDEX(monster!$J$2:$J$606,MATCH(skill!C370,monster!$A$2:$A$606,0)),Q370)</f>
        <v>1.2</v>
      </c>
      <c r="Q370" s="70"/>
      <c r="R370" s="33">
        <v>100</v>
      </c>
    </row>
    <row r="371" spans="1:18" s="38" customFormat="1" x14ac:dyDescent="0.15">
      <c r="A371" s="32">
        <v>10392</v>
      </c>
      <c r="B371" s="32" t="s">
        <v>832</v>
      </c>
      <c r="C371" s="32">
        <v>1245</v>
      </c>
      <c r="D371" s="32">
        <v>6</v>
      </c>
      <c r="E371" s="15">
        <f>INDEX(monster!$H$2:$H$617,MATCH(skill!C371,monster!$A$2:$A$617,0))</f>
        <v>60.22</v>
      </c>
      <c r="F371" s="15">
        <f>INDEX(monster!$I$2:$I$617,MATCH(C371,monster!$A$2:$A$617,0))</f>
        <v>1.81</v>
      </c>
      <c r="G371" s="15" t="b">
        <f t="shared" si="22"/>
        <v>1</v>
      </c>
      <c r="H371" s="32">
        <v>1</v>
      </c>
      <c r="I371" s="15">
        <f>IF(H371&gt;0,HLOOKUP(R371/100,数值规划表!$B$37:$AA$39,3),1)</f>
        <v>1</v>
      </c>
      <c r="J371" s="31" t="s">
        <v>1625</v>
      </c>
      <c r="K371" s="15">
        <f>INDEX(数值规划表!$B$15:$B$18,MATCH(J371,攻击范围,0))</f>
        <v>1</v>
      </c>
      <c r="L371" s="70">
        <v>0.7</v>
      </c>
      <c r="M371" s="41">
        <v>0</v>
      </c>
      <c r="N371" s="15">
        <f t="shared" si="19"/>
        <v>42</v>
      </c>
      <c r="O371" s="15">
        <f t="shared" si="20"/>
        <v>1.27</v>
      </c>
      <c r="P371" s="15">
        <f>IF(G371,INDEX(monster!$J$2:$J$606,MATCH(skill!C371,monster!$A$2:$A$606,0)),Q371)</f>
        <v>1.2</v>
      </c>
      <c r="Q371" s="70"/>
      <c r="R371" s="33">
        <v>100</v>
      </c>
    </row>
    <row r="372" spans="1:18" s="38" customFormat="1" x14ac:dyDescent="0.15">
      <c r="A372" s="32">
        <v>10393</v>
      </c>
      <c r="B372" s="32" t="s">
        <v>833</v>
      </c>
      <c r="C372" s="32">
        <v>1246</v>
      </c>
      <c r="D372" s="32">
        <v>7</v>
      </c>
      <c r="E372" s="15">
        <f>INDEX(monster!$H$2:$H$617,MATCH(skill!C372,monster!$A$2:$A$617,0))</f>
        <v>67.45</v>
      </c>
      <c r="F372" s="15">
        <f>INDEX(monster!$I$2:$I$617,MATCH(C372,monster!$A$2:$A$617,0))</f>
        <v>2.02</v>
      </c>
      <c r="G372" s="15" t="b">
        <f t="shared" si="22"/>
        <v>1</v>
      </c>
      <c r="H372" s="32">
        <v>1</v>
      </c>
      <c r="I372" s="15">
        <f>IF(H372&gt;0,HLOOKUP(R372/100,数值规划表!$B$37:$AA$39,3),1)</f>
        <v>1</v>
      </c>
      <c r="J372" s="31" t="s">
        <v>1625</v>
      </c>
      <c r="K372" s="15">
        <f>INDEX(数值规划表!$B$15:$B$18,MATCH(J372,攻击范围,0))</f>
        <v>1</v>
      </c>
      <c r="L372" s="70">
        <v>0.7</v>
      </c>
      <c r="M372" s="41">
        <v>0</v>
      </c>
      <c r="N372" s="15">
        <f t="shared" si="19"/>
        <v>47</v>
      </c>
      <c r="O372" s="15">
        <f t="shared" si="20"/>
        <v>1.41</v>
      </c>
      <c r="P372" s="15">
        <f>IF(G372,INDEX(monster!$J$2:$J$606,MATCH(skill!C372,monster!$A$2:$A$606,0)),Q372)</f>
        <v>1.2</v>
      </c>
      <c r="Q372" s="70"/>
      <c r="R372" s="33">
        <v>100</v>
      </c>
    </row>
    <row r="373" spans="1:18" s="38" customFormat="1" x14ac:dyDescent="0.15">
      <c r="A373" s="32">
        <v>10394</v>
      </c>
      <c r="B373" s="32" t="s">
        <v>834</v>
      </c>
      <c r="C373" s="32">
        <v>1247</v>
      </c>
      <c r="D373" s="32">
        <v>8</v>
      </c>
      <c r="E373" s="15">
        <f>INDEX(monster!$H$2:$H$617,MATCH(skill!C373,monster!$A$2:$A$617,0))</f>
        <v>75.540000000000006</v>
      </c>
      <c r="F373" s="15">
        <f>INDEX(monster!$I$2:$I$617,MATCH(C373,monster!$A$2:$A$617,0))</f>
        <v>2.27</v>
      </c>
      <c r="G373" s="15" t="b">
        <f t="shared" si="22"/>
        <v>1</v>
      </c>
      <c r="H373" s="32">
        <v>1</v>
      </c>
      <c r="I373" s="15">
        <f>IF(H373&gt;0,HLOOKUP(R373/100,数值规划表!$B$37:$AA$39,3),1)</f>
        <v>1</v>
      </c>
      <c r="J373" s="31" t="s">
        <v>1625</v>
      </c>
      <c r="K373" s="15">
        <f>INDEX(数值规划表!$B$15:$B$18,MATCH(J373,攻击范围,0))</f>
        <v>1</v>
      </c>
      <c r="L373" s="70">
        <v>0.7</v>
      </c>
      <c r="M373" s="41">
        <v>0</v>
      </c>
      <c r="N373" s="15">
        <f t="shared" si="19"/>
        <v>53</v>
      </c>
      <c r="O373" s="15">
        <f t="shared" si="20"/>
        <v>1.59</v>
      </c>
      <c r="P373" s="15">
        <f>IF(G373,INDEX(monster!$J$2:$J$606,MATCH(skill!C373,monster!$A$2:$A$606,0)),Q373)</f>
        <v>1.2</v>
      </c>
      <c r="Q373" s="70"/>
      <c r="R373" s="33">
        <v>100</v>
      </c>
    </row>
    <row r="374" spans="1:18" s="38" customFormat="1" x14ac:dyDescent="0.15">
      <c r="A374" s="32">
        <v>10395</v>
      </c>
      <c r="B374" s="32" t="s">
        <v>835</v>
      </c>
      <c r="C374" s="32">
        <v>1248</v>
      </c>
      <c r="D374" s="32">
        <v>9</v>
      </c>
      <c r="E374" s="15">
        <f>INDEX(monster!$H$2:$H$617,MATCH(skill!C374,monster!$A$2:$A$617,0))</f>
        <v>84.61</v>
      </c>
      <c r="F374" s="15">
        <f>INDEX(monster!$I$2:$I$617,MATCH(C374,monster!$A$2:$A$617,0))</f>
        <v>2.54</v>
      </c>
      <c r="G374" s="15" t="b">
        <f t="shared" si="22"/>
        <v>1</v>
      </c>
      <c r="H374" s="32">
        <v>1</v>
      </c>
      <c r="I374" s="15">
        <f>IF(H374&gt;0,HLOOKUP(R374/100,数值规划表!$B$37:$AA$39,3),1)</f>
        <v>1</v>
      </c>
      <c r="J374" s="31" t="s">
        <v>1625</v>
      </c>
      <c r="K374" s="15">
        <f>INDEX(数值规划表!$B$15:$B$18,MATCH(J374,攻击范围,0))</f>
        <v>1</v>
      </c>
      <c r="L374" s="70">
        <v>0.7</v>
      </c>
      <c r="M374" s="41">
        <v>0</v>
      </c>
      <c r="N374" s="15">
        <f t="shared" si="19"/>
        <v>59</v>
      </c>
      <c r="O374" s="15">
        <f t="shared" si="20"/>
        <v>1.78</v>
      </c>
      <c r="P374" s="15">
        <f>IF(G374,INDEX(monster!$J$2:$J$606,MATCH(skill!C374,monster!$A$2:$A$606,0)),Q374)</f>
        <v>1.2</v>
      </c>
      <c r="Q374" s="70"/>
      <c r="R374" s="33">
        <v>100</v>
      </c>
    </row>
    <row r="375" spans="1:18" s="38" customFormat="1" x14ac:dyDescent="0.15">
      <c r="A375" s="32">
        <v>10396</v>
      </c>
      <c r="B375" s="32" t="s">
        <v>836</v>
      </c>
      <c r="C375" s="32">
        <v>1249</v>
      </c>
      <c r="D375" s="32">
        <v>10</v>
      </c>
      <c r="E375" s="15">
        <f>INDEX(monster!$H$2:$H$617,MATCH(skill!C375,monster!$A$2:$A$617,0))</f>
        <v>94.76</v>
      </c>
      <c r="F375" s="15">
        <f>INDEX(monster!$I$2:$I$617,MATCH(C375,monster!$A$2:$A$617,0))</f>
        <v>2.84</v>
      </c>
      <c r="G375" s="15" t="b">
        <f t="shared" si="22"/>
        <v>1</v>
      </c>
      <c r="H375" s="32">
        <v>1</v>
      </c>
      <c r="I375" s="15">
        <f>IF(H375&gt;0,HLOOKUP(R375/100,数值规划表!$B$37:$AA$39,3),1)</f>
        <v>1</v>
      </c>
      <c r="J375" s="31" t="s">
        <v>1625</v>
      </c>
      <c r="K375" s="15">
        <f>INDEX(数值规划表!$B$15:$B$18,MATCH(J375,攻击范围,0))</f>
        <v>1</v>
      </c>
      <c r="L375" s="70">
        <v>0.7</v>
      </c>
      <c r="M375" s="41">
        <v>0</v>
      </c>
      <c r="N375" s="15">
        <f t="shared" ref="N375:N438" si="23">ROUND(E375*I375*K375*L375,0)</f>
        <v>66</v>
      </c>
      <c r="O375" s="15">
        <f t="shared" ref="O375:O438" si="24">ROUND(F375*I375*K375*L375,2)</f>
        <v>1.99</v>
      </c>
      <c r="P375" s="15">
        <f>IF(G375,INDEX(monster!$J$2:$J$606,MATCH(skill!C375,monster!$A$2:$A$606,0)),Q375)</f>
        <v>1.2</v>
      </c>
      <c r="Q375" s="70"/>
      <c r="R375" s="33">
        <v>100</v>
      </c>
    </row>
    <row r="376" spans="1:18" s="38" customFormat="1" x14ac:dyDescent="0.15">
      <c r="A376" s="32">
        <v>10408</v>
      </c>
      <c r="B376" s="32" t="s">
        <v>2865</v>
      </c>
      <c r="C376" s="31">
        <v>1250</v>
      </c>
      <c r="D376" s="32">
        <v>0</v>
      </c>
      <c r="E376" s="15">
        <f>INDEX(monster!$H$2:$H$617,MATCH(skill!C376,monster!$A$2:$A$617,0))</f>
        <v>37.21</v>
      </c>
      <c r="F376" s="15">
        <f>INDEX(monster!$I$2:$I$617,MATCH(C376,monster!$A$2:$A$617,0))</f>
        <v>1.1200000000000001</v>
      </c>
      <c r="G376" s="15" t="b">
        <f t="shared" si="22"/>
        <v>1</v>
      </c>
      <c r="H376" s="31">
        <v>1</v>
      </c>
      <c r="I376" s="15">
        <f>IF(H376&gt;0,HLOOKUP(R376/100,数值规划表!$B$37:$AA$39,3),1)</f>
        <v>1.296</v>
      </c>
      <c r="J376" s="31" t="s">
        <v>1625</v>
      </c>
      <c r="K376" s="15">
        <f>INDEX(数值规划表!$B$15:$B$18,MATCH(J376,攻击范围,0))</f>
        <v>1</v>
      </c>
      <c r="L376" s="30">
        <v>1</v>
      </c>
      <c r="M376" s="41">
        <v>0</v>
      </c>
      <c r="N376" s="15">
        <f t="shared" si="23"/>
        <v>48</v>
      </c>
      <c r="O376" s="15">
        <f t="shared" si="24"/>
        <v>1.45</v>
      </c>
      <c r="P376" s="15">
        <f>IF(G376,INDEX(monster!$J$2:$J$606,MATCH(skill!C376,monster!$A$2:$A$606,0)),Q376)</f>
        <v>4.5</v>
      </c>
      <c r="Q376" s="70"/>
      <c r="R376" s="52">
        <v>120</v>
      </c>
    </row>
    <row r="377" spans="1:18" s="38" customFormat="1" x14ac:dyDescent="0.15">
      <c r="A377" s="32">
        <v>10409</v>
      </c>
      <c r="B377" s="32" t="s">
        <v>2866</v>
      </c>
      <c r="C377" s="31">
        <v>1251</v>
      </c>
      <c r="D377" s="32">
        <v>1</v>
      </c>
      <c r="E377" s="15">
        <f>INDEX(monster!$H$2:$H$617,MATCH(skill!C377,monster!$A$2:$A$617,0))</f>
        <v>41.68</v>
      </c>
      <c r="F377" s="15">
        <f>INDEX(monster!$I$2:$I$617,MATCH(C377,monster!$A$2:$A$617,0))</f>
        <v>1.25</v>
      </c>
      <c r="G377" s="15" t="b">
        <f t="shared" si="22"/>
        <v>1</v>
      </c>
      <c r="H377" s="31">
        <v>1</v>
      </c>
      <c r="I377" s="15">
        <f>IF(H377&gt;0,HLOOKUP(R377/100,数值规划表!$B$37:$AA$39,3),1)</f>
        <v>1.296</v>
      </c>
      <c r="J377" s="31" t="s">
        <v>1625</v>
      </c>
      <c r="K377" s="15">
        <f>INDEX(数值规划表!$B$15:$B$18,MATCH(J377,攻击范围,0))</f>
        <v>1</v>
      </c>
      <c r="L377" s="30">
        <v>1</v>
      </c>
      <c r="M377" s="41">
        <v>0</v>
      </c>
      <c r="N377" s="15">
        <f t="shared" si="23"/>
        <v>54</v>
      </c>
      <c r="O377" s="15">
        <f t="shared" si="24"/>
        <v>1.62</v>
      </c>
      <c r="P377" s="15">
        <f>IF(G377,INDEX(monster!$J$2:$J$606,MATCH(skill!C377,monster!$A$2:$A$606,0)),Q377)</f>
        <v>4.5</v>
      </c>
      <c r="Q377" s="70"/>
      <c r="R377" s="52">
        <v>120</v>
      </c>
    </row>
    <row r="378" spans="1:18" s="38" customFormat="1" x14ac:dyDescent="0.15">
      <c r="A378" s="32">
        <v>10410</v>
      </c>
      <c r="B378" s="32" t="s">
        <v>837</v>
      </c>
      <c r="C378" s="31">
        <v>1252</v>
      </c>
      <c r="D378" s="32">
        <v>2</v>
      </c>
      <c r="E378" s="15">
        <f>INDEX(monster!$H$2:$H$617,MATCH(skill!C378,monster!$A$2:$A$617,0))</f>
        <v>46.68</v>
      </c>
      <c r="F378" s="15">
        <f>INDEX(monster!$I$2:$I$617,MATCH(C378,monster!$A$2:$A$617,0))</f>
        <v>1.4</v>
      </c>
      <c r="G378" s="15" t="b">
        <f t="shared" si="22"/>
        <v>1</v>
      </c>
      <c r="H378" s="31">
        <v>1</v>
      </c>
      <c r="I378" s="15">
        <f>IF(H378&gt;0,HLOOKUP(R378/100,数值规划表!$B$37:$AA$39,3),1)</f>
        <v>1.296</v>
      </c>
      <c r="J378" s="31" t="s">
        <v>1625</v>
      </c>
      <c r="K378" s="15">
        <f>INDEX(数值规划表!$B$15:$B$18,MATCH(J378,攻击范围,0))</f>
        <v>1</v>
      </c>
      <c r="L378" s="30">
        <v>1</v>
      </c>
      <c r="M378" s="41">
        <v>0</v>
      </c>
      <c r="N378" s="15">
        <f t="shared" si="23"/>
        <v>60</v>
      </c>
      <c r="O378" s="15">
        <f t="shared" si="24"/>
        <v>1.81</v>
      </c>
      <c r="P378" s="15">
        <f>IF(G378,INDEX(monster!$J$2:$J$606,MATCH(skill!C378,monster!$A$2:$A$606,0)),Q378)</f>
        <v>4.5</v>
      </c>
      <c r="Q378" s="70"/>
      <c r="R378" s="52">
        <v>120</v>
      </c>
    </row>
    <row r="379" spans="1:18" s="38" customFormat="1" x14ac:dyDescent="0.15">
      <c r="A379" s="32">
        <v>10411</v>
      </c>
      <c r="B379" s="32" t="s">
        <v>838</v>
      </c>
      <c r="C379" s="31">
        <v>1253</v>
      </c>
      <c r="D379" s="32">
        <v>3</v>
      </c>
      <c r="E379" s="15">
        <f>INDEX(monster!$H$2:$H$617,MATCH(skill!C379,monster!$A$2:$A$617,0))</f>
        <v>52.28</v>
      </c>
      <c r="F379" s="15">
        <f>INDEX(monster!$I$2:$I$617,MATCH(C379,monster!$A$2:$A$617,0))</f>
        <v>1.57</v>
      </c>
      <c r="G379" s="15" t="b">
        <f t="shared" si="22"/>
        <v>1</v>
      </c>
      <c r="H379" s="31">
        <v>1</v>
      </c>
      <c r="I379" s="15">
        <f>IF(H379&gt;0,HLOOKUP(R379/100,数值规划表!$B$37:$AA$39,3),1)</f>
        <v>1.296</v>
      </c>
      <c r="J379" s="31" t="s">
        <v>1625</v>
      </c>
      <c r="K379" s="15">
        <f>INDEX(数值规划表!$B$15:$B$18,MATCH(J379,攻击范围,0))</f>
        <v>1</v>
      </c>
      <c r="L379" s="30">
        <v>1</v>
      </c>
      <c r="M379" s="41">
        <v>0</v>
      </c>
      <c r="N379" s="15">
        <f t="shared" si="23"/>
        <v>68</v>
      </c>
      <c r="O379" s="15">
        <f t="shared" si="24"/>
        <v>2.0299999999999998</v>
      </c>
      <c r="P379" s="15">
        <f>IF(G379,INDEX(monster!$J$2:$J$606,MATCH(skill!C379,monster!$A$2:$A$606,0)),Q379)</f>
        <v>4.5</v>
      </c>
      <c r="Q379" s="70"/>
      <c r="R379" s="52">
        <v>120</v>
      </c>
    </row>
    <row r="380" spans="1:18" s="38" customFormat="1" x14ac:dyDescent="0.15">
      <c r="A380" s="32">
        <v>10412</v>
      </c>
      <c r="B380" s="32" t="s">
        <v>839</v>
      </c>
      <c r="C380" s="31">
        <v>1254</v>
      </c>
      <c r="D380" s="32">
        <v>4</v>
      </c>
      <c r="E380" s="15">
        <f>INDEX(monster!$H$2:$H$617,MATCH(skill!C380,monster!$A$2:$A$617,0))</f>
        <v>58.55</v>
      </c>
      <c r="F380" s="15">
        <f>INDEX(monster!$I$2:$I$617,MATCH(C380,monster!$A$2:$A$617,0))</f>
        <v>1.76</v>
      </c>
      <c r="G380" s="15" t="b">
        <f t="shared" si="22"/>
        <v>1</v>
      </c>
      <c r="H380" s="31">
        <v>1</v>
      </c>
      <c r="I380" s="15">
        <f>IF(H380&gt;0,HLOOKUP(R380/100,数值规划表!$B$37:$AA$39,3),1)</f>
        <v>1.296</v>
      </c>
      <c r="J380" s="31" t="s">
        <v>1625</v>
      </c>
      <c r="K380" s="15">
        <f>INDEX(数值规划表!$B$15:$B$18,MATCH(J380,攻击范围,0))</f>
        <v>1</v>
      </c>
      <c r="L380" s="30">
        <v>1</v>
      </c>
      <c r="M380" s="41">
        <v>0</v>
      </c>
      <c r="N380" s="15">
        <f t="shared" si="23"/>
        <v>76</v>
      </c>
      <c r="O380" s="15">
        <f t="shared" si="24"/>
        <v>2.2799999999999998</v>
      </c>
      <c r="P380" s="15">
        <f>IF(G380,INDEX(monster!$J$2:$J$606,MATCH(skill!C380,monster!$A$2:$A$606,0)),Q380)</f>
        <v>4.5</v>
      </c>
      <c r="Q380" s="70"/>
      <c r="R380" s="52">
        <v>120</v>
      </c>
    </row>
    <row r="381" spans="1:18" s="38" customFormat="1" x14ac:dyDescent="0.15">
      <c r="A381" s="32">
        <v>10413</v>
      </c>
      <c r="B381" s="32" t="s">
        <v>840</v>
      </c>
      <c r="C381" s="31">
        <v>1255</v>
      </c>
      <c r="D381" s="32">
        <v>5</v>
      </c>
      <c r="E381" s="15">
        <f>INDEX(monster!$H$2:$H$617,MATCH(skill!C381,monster!$A$2:$A$617,0))</f>
        <v>65.58</v>
      </c>
      <c r="F381" s="15">
        <f>INDEX(monster!$I$2:$I$617,MATCH(C381,monster!$A$2:$A$617,0))</f>
        <v>1.97</v>
      </c>
      <c r="G381" s="15" t="b">
        <f t="shared" si="22"/>
        <v>1</v>
      </c>
      <c r="H381" s="31">
        <v>1</v>
      </c>
      <c r="I381" s="15">
        <f>IF(H381&gt;0,HLOOKUP(R381/100,数值规划表!$B$37:$AA$39,3),1)</f>
        <v>1.296</v>
      </c>
      <c r="J381" s="31" t="s">
        <v>1625</v>
      </c>
      <c r="K381" s="15">
        <f>INDEX(数值规划表!$B$15:$B$18,MATCH(J381,攻击范围,0))</f>
        <v>1</v>
      </c>
      <c r="L381" s="30">
        <v>1</v>
      </c>
      <c r="M381" s="41">
        <v>0</v>
      </c>
      <c r="N381" s="15">
        <f t="shared" si="23"/>
        <v>85</v>
      </c>
      <c r="O381" s="15">
        <f t="shared" si="24"/>
        <v>2.5499999999999998</v>
      </c>
      <c r="P381" s="15">
        <f>IF(G381,INDEX(monster!$J$2:$J$606,MATCH(skill!C381,monster!$A$2:$A$606,0)),Q381)</f>
        <v>4.5</v>
      </c>
      <c r="Q381" s="70"/>
      <c r="R381" s="52">
        <v>120</v>
      </c>
    </row>
    <row r="382" spans="1:18" s="38" customFormat="1" x14ac:dyDescent="0.15">
      <c r="A382" s="32">
        <v>10414</v>
      </c>
      <c r="B382" s="32" t="s">
        <v>841</v>
      </c>
      <c r="C382" s="31">
        <v>1256</v>
      </c>
      <c r="D382" s="32">
        <v>6</v>
      </c>
      <c r="E382" s="15">
        <f>INDEX(monster!$H$2:$H$617,MATCH(skill!C382,monster!$A$2:$A$617,0))</f>
        <v>73.45</v>
      </c>
      <c r="F382" s="15">
        <f>INDEX(monster!$I$2:$I$617,MATCH(C382,monster!$A$2:$A$617,0))</f>
        <v>2.2000000000000002</v>
      </c>
      <c r="G382" s="15" t="b">
        <f t="shared" si="22"/>
        <v>1</v>
      </c>
      <c r="H382" s="31">
        <v>1</v>
      </c>
      <c r="I382" s="15">
        <f>IF(H382&gt;0,HLOOKUP(R382/100,数值规划表!$B$37:$AA$39,3),1)</f>
        <v>1.296</v>
      </c>
      <c r="J382" s="31" t="s">
        <v>1625</v>
      </c>
      <c r="K382" s="15">
        <f>INDEX(数值规划表!$B$15:$B$18,MATCH(J382,攻击范围,0))</f>
        <v>1</v>
      </c>
      <c r="L382" s="30">
        <v>1</v>
      </c>
      <c r="M382" s="41">
        <v>0</v>
      </c>
      <c r="N382" s="15">
        <f t="shared" si="23"/>
        <v>95</v>
      </c>
      <c r="O382" s="15">
        <f t="shared" si="24"/>
        <v>2.85</v>
      </c>
      <c r="P382" s="15">
        <f>IF(G382,INDEX(monster!$J$2:$J$606,MATCH(skill!C382,monster!$A$2:$A$606,0)),Q382)</f>
        <v>4.5</v>
      </c>
      <c r="Q382" s="70"/>
      <c r="R382" s="52">
        <v>120</v>
      </c>
    </row>
    <row r="383" spans="1:18" s="38" customFormat="1" x14ac:dyDescent="0.15">
      <c r="A383" s="32">
        <v>10415</v>
      </c>
      <c r="B383" s="32" t="s">
        <v>842</v>
      </c>
      <c r="C383" s="31">
        <v>1257</v>
      </c>
      <c r="D383" s="32">
        <v>7</v>
      </c>
      <c r="E383" s="15">
        <f>INDEX(monster!$H$2:$H$617,MATCH(skill!C383,monster!$A$2:$A$617,0))</f>
        <v>82.26</v>
      </c>
      <c r="F383" s="15">
        <f>INDEX(monster!$I$2:$I$617,MATCH(C383,monster!$A$2:$A$617,0))</f>
        <v>2.4700000000000002</v>
      </c>
      <c r="G383" s="15" t="b">
        <f t="shared" si="22"/>
        <v>1</v>
      </c>
      <c r="H383" s="31">
        <v>1</v>
      </c>
      <c r="I383" s="15">
        <f>IF(H383&gt;0,HLOOKUP(R383/100,数值规划表!$B$37:$AA$39,3),1)</f>
        <v>1.296</v>
      </c>
      <c r="J383" s="31" t="s">
        <v>1625</v>
      </c>
      <c r="K383" s="15">
        <f>INDEX(数值规划表!$B$15:$B$18,MATCH(J383,攻击范围,0))</f>
        <v>1</v>
      </c>
      <c r="L383" s="30">
        <v>1</v>
      </c>
      <c r="M383" s="41">
        <v>0</v>
      </c>
      <c r="N383" s="15">
        <f t="shared" si="23"/>
        <v>107</v>
      </c>
      <c r="O383" s="15">
        <f t="shared" si="24"/>
        <v>3.2</v>
      </c>
      <c r="P383" s="15">
        <f>IF(G383,INDEX(monster!$J$2:$J$606,MATCH(skill!C383,monster!$A$2:$A$606,0)),Q383)</f>
        <v>4.5</v>
      </c>
      <c r="Q383" s="70"/>
      <c r="R383" s="52">
        <v>120</v>
      </c>
    </row>
    <row r="384" spans="1:18" s="38" customFormat="1" x14ac:dyDescent="0.15">
      <c r="A384" s="32">
        <v>10416</v>
      </c>
      <c r="B384" s="32" t="s">
        <v>843</v>
      </c>
      <c r="C384" s="31">
        <v>1258</v>
      </c>
      <c r="D384" s="32">
        <v>8</v>
      </c>
      <c r="E384" s="15">
        <f>INDEX(monster!$H$2:$H$617,MATCH(skill!C384,monster!$A$2:$A$617,0))</f>
        <v>92.13</v>
      </c>
      <c r="F384" s="15">
        <f>INDEX(monster!$I$2:$I$617,MATCH(C384,monster!$A$2:$A$617,0))</f>
        <v>2.76</v>
      </c>
      <c r="G384" s="15" t="b">
        <f t="shared" si="22"/>
        <v>1</v>
      </c>
      <c r="H384" s="31">
        <v>1</v>
      </c>
      <c r="I384" s="15">
        <f>IF(H384&gt;0,HLOOKUP(R384/100,数值规划表!$B$37:$AA$39,3),1)</f>
        <v>1.296</v>
      </c>
      <c r="J384" s="31" t="s">
        <v>1625</v>
      </c>
      <c r="K384" s="15">
        <f>INDEX(数值规划表!$B$15:$B$18,MATCH(J384,攻击范围,0))</f>
        <v>1</v>
      </c>
      <c r="L384" s="30">
        <v>1</v>
      </c>
      <c r="M384" s="41">
        <v>0</v>
      </c>
      <c r="N384" s="15">
        <f t="shared" si="23"/>
        <v>119</v>
      </c>
      <c r="O384" s="15">
        <f t="shared" si="24"/>
        <v>3.58</v>
      </c>
      <c r="P384" s="15">
        <f>IF(G384,INDEX(monster!$J$2:$J$606,MATCH(skill!C384,monster!$A$2:$A$606,0)),Q384)</f>
        <v>4.5</v>
      </c>
      <c r="Q384" s="70"/>
      <c r="R384" s="52">
        <v>120</v>
      </c>
    </row>
    <row r="385" spans="1:18" s="38" customFormat="1" x14ac:dyDescent="0.15">
      <c r="A385" s="32">
        <v>10417</v>
      </c>
      <c r="B385" s="32" t="s">
        <v>844</v>
      </c>
      <c r="C385" s="31">
        <v>1259</v>
      </c>
      <c r="D385" s="32">
        <v>9</v>
      </c>
      <c r="E385" s="15">
        <f>INDEX(monster!$H$2:$H$617,MATCH(skill!C385,monster!$A$2:$A$617,0))</f>
        <v>103.19</v>
      </c>
      <c r="F385" s="15">
        <f>INDEX(monster!$I$2:$I$617,MATCH(C385,monster!$A$2:$A$617,0))</f>
        <v>3.1</v>
      </c>
      <c r="G385" s="15" t="b">
        <f t="shared" si="22"/>
        <v>1</v>
      </c>
      <c r="H385" s="31">
        <v>1</v>
      </c>
      <c r="I385" s="15">
        <f>IF(H385&gt;0,HLOOKUP(R385/100,数值规划表!$B$37:$AA$39,3),1)</f>
        <v>1.296</v>
      </c>
      <c r="J385" s="31" t="s">
        <v>1625</v>
      </c>
      <c r="K385" s="15">
        <f>INDEX(数值规划表!$B$15:$B$18,MATCH(J385,攻击范围,0))</f>
        <v>1</v>
      </c>
      <c r="L385" s="30">
        <v>1</v>
      </c>
      <c r="M385" s="41">
        <v>0</v>
      </c>
      <c r="N385" s="15">
        <f t="shared" si="23"/>
        <v>134</v>
      </c>
      <c r="O385" s="15">
        <f t="shared" si="24"/>
        <v>4.0199999999999996</v>
      </c>
      <c r="P385" s="15">
        <f>IF(G385,INDEX(monster!$J$2:$J$606,MATCH(skill!C385,monster!$A$2:$A$606,0)),Q385)</f>
        <v>4.5</v>
      </c>
      <c r="Q385" s="70"/>
      <c r="R385" s="52">
        <v>120</v>
      </c>
    </row>
    <row r="386" spans="1:18" s="38" customFormat="1" x14ac:dyDescent="0.15">
      <c r="A386" s="32">
        <v>10418</v>
      </c>
      <c r="B386" s="32" t="s">
        <v>845</v>
      </c>
      <c r="C386" s="31">
        <v>1260</v>
      </c>
      <c r="D386" s="32">
        <v>10</v>
      </c>
      <c r="E386" s="15">
        <f>INDEX(monster!$H$2:$H$617,MATCH(skill!C386,monster!$A$2:$A$617,0))</f>
        <v>115.57</v>
      </c>
      <c r="F386" s="15">
        <f>INDEX(monster!$I$2:$I$617,MATCH(C386,monster!$A$2:$A$617,0))</f>
        <v>3.47</v>
      </c>
      <c r="G386" s="15" t="b">
        <f t="shared" si="22"/>
        <v>1</v>
      </c>
      <c r="H386" s="31">
        <v>1</v>
      </c>
      <c r="I386" s="15">
        <f>IF(H386&gt;0,HLOOKUP(R386/100,数值规划表!$B$37:$AA$39,3),1)</f>
        <v>1.296</v>
      </c>
      <c r="J386" s="31" t="s">
        <v>1625</v>
      </c>
      <c r="K386" s="15">
        <f>INDEX(数值规划表!$B$15:$B$18,MATCH(J386,攻击范围,0))</f>
        <v>1</v>
      </c>
      <c r="L386" s="30">
        <v>1</v>
      </c>
      <c r="M386" s="41">
        <v>0</v>
      </c>
      <c r="N386" s="15">
        <f t="shared" si="23"/>
        <v>150</v>
      </c>
      <c r="O386" s="15">
        <f t="shared" si="24"/>
        <v>4.5</v>
      </c>
      <c r="P386" s="15">
        <f>IF(G386,INDEX(monster!$J$2:$J$606,MATCH(skill!C386,monster!$A$2:$A$606,0)),Q386)</f>
        <v>4.5</v>
      </c>
      <c r="Q386" s="70"/>
      <c r="R386" s="52">
        <v>120</v>
      </c>
    </row>
    <row r="387" spans="1:18" x14ac:dyDescent="0.15">
      <c r="A387" s="32">
        <v>10419</v>
      </c>
      <c r="B387" s="32" t="s">
        <v>1698</v>
      </c>
      <c r="C387" s="31">
        <v>1250</v>
      </c>
      <c r="D387" s="32">
        <v>0</v>
      </c>
      <c r="E387" s="15">
        <f>INDEX(monster!$H$2:$H$617,MATCH(skill!C387,monster!$A$2:$A$617,0))</f>
        <v>37.21</v>
      </c>
      <c r="F387" s="15">
        <f>INDEX(monster!$I$2:$I$617,MATCH(C387,monster!$A$2:$A$617,0))</f>
        <v>1.1200000000000001</v>
      </c>
      <c r="G387" s="15" t="b">
        <f t="shared" si="22"/>
        <v>1</v>
      </c>
      <c r="H387" s="31">
        <v>0</v>
      </c>
      <c r="I387" s="15">
        <f>IF(H387&gt;0,HLOOKUP(R387/100,数值规划表!$B$37:$AA$39,3),1)</f>
        <v>1</v>
      </c>
      <c r="J387" s="31" t="s">
        <v>1627</v>
      </c>
      <c r="K387" s="15">
        <f>INDEX(数值规划表!$B$15:$B$18,MATCH(J387,攻击范围,0))</f>
        <v>0.7</v>
      </c>
      <c r="L387" s="30">
        <v>1</v>
      </c>
      <c r="M387" s="41">
        <v>0</v>
      </c>
      <c r="N387" s="15">
        <f t="shared" si="23"/>
        <v>26</v>
      </c>
      <c r="O387" s="15">
        <f t="shared" si="24"/>
        <v>0.78</v>
      </c>
      <c r="P387" s="15">
        <f>IF(G387,INDEX(monster!$J$2:$J$606,MATCH(skill!C387,monster!$A$2:$A$606,0)),Q387)</f>
        <v>4.5</v>
      </c>
      <c r="R387" s="33">
        <v>100</v>
      </c>
    </row>
    <row r="388" spans="1:18" x14ac:dyDescent="0.15">
      <c r="A388" s="32">
        <v>10420</v>
      </c>
      <c r="B388" s="32" t="s">
        <v>1699</v>
      </c>
      <c r="C388" s="31">
        <v>1251</v>
      </c>
      <c r="D388" s="32">
        <v>1</v>
      </c>
      <c r="E388" s="15">
        <f>INDEX(monster!$H$2:$H$617,MATCH(skill!C388,monster!$A$2:$A$617,0))</f>
        <v>41.68</v>
      </c>
      <c r="F388" s="15">
        <f>INDEX(monster!$I$2:$I$617,MATCH(C388,monster!$A$2:$A$617,0))</f>
        <v>1.25</v>
      </c>
      <c r="G388" s="15" t="b">
        <f t="shared" si="22"/>
        <v>1</v>
      </c>
      <c r="H388" s="31">
        <v>0</v>
      </c>
      <c r="I388" s="15">
        <f>IF(H388&gt;0,HLOOKUP(R388/100,数值规划表!$B$37:$AA$39,3),1)</f>
        <v>1</v>
      </c>
      <c r="J388" s="31" t="s">
        <v>1627</v>
      </c>
      <c r="K388" s="15">
        <f>INDEX(数值规划表!$B$15:$B$18,MATCH(J388,攻击范围,0))</f>
        <v>0.7</v>
      </c>
      <c r="L388" s="30">
        <v>1</v>
      </c>
      <c r="M388" s="41">
        <v>0</v>
      </c>
      <c r="N388" s="15">
        <f t="shared" si="23"/>
        <v>29</v>
      </c>
      <c r="O388" s="15">
        <f t="shared" si="24"/>
        <v>0.88</v>
      </c>
      <c r="P388" s="15">
        <f>IF(G388,INDEX(monster!$J$2:$J$606,MATCH(skill!C388,monster!$A$2:$A$606,0)),Q388)</f>
        <v>4.5</v>
      </c>
      <c r="R388" s="33">
        <v>100</v>
      </c>
    </row>
    <row r="389" spans="1:18" x14ac:dyDescent="0.15">
      <c r="A389" s="32">
        <v>10421</v>
      </c>
      <c r="B389" s="32" t="s">
        <v>1700</v>
      </c>
      <c r="C389" s="31">
        <v>1252</v>
      </c>
      <c r="D389" s="32">
        <v>2</v>
      </c>
      <c r="E389" s="15">
        <f>INDEX(monster!$H$2:$H$617,MATCH(skill!C389,monster!$A$2:$A$617,0))</f>
        <v>46.68</v>
      </c>
      <c r="F389" s="15">
        <f>INDEX(monster!$I$2:$I$617,MATCH(C389,monster!$A$2:$A$617,0))</f>
        <v>1.4</v>
      </c>
      <c r="G389" s="15" t="b">
        <f t="shared" si="22"/>
        <v>1</v>
      </c>
      <c r="H389" s="31">
        <v>0</v>
      </c>
      <c r="I389" s="15">
        <f>IF(H389&gt;0,HLOOKUP(R389/100,数值规划表!$B$37:$AA$39,3),1)</f>
        <v>1</v>
      </c>
      <c r="J389" s="31" t="s">
        <v>1627</v>
      </c>
      <c r="K389" s="15">
        <f>INDEX(数值规划表!$B$15:$B$18,MATCH(J389,攻击范围,0))</f>
        <v>0.7</v>
      </c>
      <c r="L389" s="30">
        <v>1</v>
      </c>
      <c r="M389" s="41">
        <v>0</v>
      </c>
      <c r="N389" s="15">
        <f t="shared" si="23"/>
        <v>33</v>
      </c>
      <c r="O389" s="15">
        <f t="shared" si="24"/>
        <v>0.98</v>
      </c>
      <c r="P389" s="15">
        <f>IF(G389,INDEX(monster!$J$2:$J$606,MATCH(skill!C389,monster!$A$2:$A$606,0)),Q389)</f>
        <v>4.5</v>
      </c>
      <c r="R389" s="33">
        <v>100</v>
      </c>
    </row>
    <row r="390" spans="1:18" x14ac:dyDescent="0.15">
      <c r="A390" s="32">
        <v>10422</v>
      </c>
      <c r="B390" s="32" t="s">
        <v>1701</v>
      </c>
      <c r="C390" s="31">
        <v>1253</v>
      </c>
      <c r="D390" s="32">
        <v>3</v>
      </c>
      <c r="E390" s="15">
        <f>INDEX(monster!$H$2:$H$617,MATCH(skill!C390,monster!$A$2:$A$617,0))</f>
        <v>52.28</v>
      </c>
      <c r="F390" s="15">
        <f>INDEX(monster!$I$2:$I$617,MATCH(C390,monster!$A$2:$A$617,0))</f>
        <v>1.57</v>
      </c>
      <c r="G390" s="15" t="b">
        <f t="shared" si="22"/>
        <v>1</v>
      </c>
      <c r="H390" s="31">
        <v>0</v>
      </c>
      <c r="I390" s="15">
        <f>IF(H390&gt;0,HLOOKUP(R390/100,数值规划表!$B$37:$AA$39,3),1)</f>
        <v>1</v>
      </c>
      <c r="J390" s="31" t="s">
        <v>1627</v>
      </c>
      <c r="K390" s="15">
        <f>INDEX(数值规划表!$B$15:$B$18,MATCH(J390,攻击范围,0))</f>
        <v>0.7</v>
      </c>
      <c r="L390" s="30">
        <v>1</v>
      </c>
      <c r="M390" s="41">
        <v>0</v>
      </c>
      <c r="N390" s="15">
        <f t="shared" si="23"/>
        <v>37</v>
      </c>
      <c r="O390" s="15">
        <f t="shared" si="24"/>
        <v>1.1000000000000001</v>
      </c>
      <c r="P390" s="15">
        <f>IF(G390,INDEX(monster!$J$2:$J$606,MATCH(skill!C390,monster!$A$2:$A$606,0)),Q390)</f>
        <v>4.5</v>
      </c>
      <c r="R390" s="33">
        <v>100</v>
      </c>
    </row>
    <row r="391" spans="1:18" x14ac:dyDescent="0.15">
      <c r="A391" s="32">
        <v>10423</v>
      </c>
      <c r="B391" s="32" t="s">
        <v>1702</v>
      </c>
      <c r="C391" s="31">
        <v>1254</v>
      </c>
      <c r="D391" s="32">
        <v>4</v>
      </c>
      <c r="E391" s="15">
        <f>INDEX(monster!$H$2:$H$617,MATCH(skill!C391,monster!$A$2:$A$617,0))</f>
        <v>58.55</v>
      </c>
      <c r="F391" s="15">
        <f>INDEX(monster!$I$2:$I$617,MATCH(C391,monster!$A$2:$A$617,0))</f>
        <v>1.76</v>
      </c>
      <c r="G391" s="15" t="b">
        <f t="shared" si="22"/>
        <v>1</v>
      </c>
      <c r="H391" s="31">
        <v>0</v>
      </c>
      <c r="I391" s="15">
        <f>IF(H391&gt;0,HLOOKUP(R391/100,数值规划表!$B$37:$AA$39,3),1)</f>
        <v>1</v>
      </c>
      <c r="J391" s="31" t="s">
        <v>1627</v>
      </c>
      <c r="K391" s="15">
        <f>INDEX(数值规划表!$B$15:$B$18,MATCH(J391,攻击范围,0))</f>
        <v>0.7</v>
      </c>
      <c r="L391" s="30">
        <v>1</v>
      </c>
      <c r="M391" s="41">
        <v>0</v>
      </c>
      <c r="N391" s="15">
        <f t="shared" si="23"/>
        <v>41</v>
      </c>
      <c r="O391" s="15">
        <f t="shared" si="24"/>
        <v>1.23</v>
      </c>
      <c r="P391" s="15">
        <f>IF(G391,INDEX(monster!$J$2:$J$606,MATCH(skill!C391,monster!$A$2:$A$606,0)),Q391)</f>
        <v>4.5</v>
      </c>
      <c r="R391" s="33">
        <v>100</v>
      </c>
    </row>
    <row r="392" spans="1:18" x14ac:dyDescent="0.15">
      <c r="A392" s="32">
        <v>10424</v>
      </c>
      <c r="B392" s="32" t="s">
        <v>1703</v>
      </c>
      <c r="C392" s="31">
        <v>1255</v>
      </c>
      <c r="D392" s="32">
        <v>5</v>
      </c>
      <c r="E392" s="15">
        <f>INDEX(monster!$H$2:$H$617,MATCH(skill!C392,monster!$A$2:$A$617,0))</f>
        <v>65.58</v>
      </c>
      <c r="F392" s="15">
        <f>INDEX(monster!$I$2:$I$617,MATCH(C392,monster!$A$2:$A$617,0))</f>
        <v>1.97</v>
      </c>
      <c r="G392" s="15" t="b">
        <f t="shared" si="22"/>
        <v>1</v>
      </c>
      <c r="H392" s="31">
        <v>0</v>
      </c>
      <c r="I392" s="15">
        <f>IF(H392&gt;0,HLOOKUP(R392/100,数值规划表!$B$37:$AA$39,3),1)</f>
        <v>1</v>
      </c>
      <c r="J392" s="31" t="s">
        <v>1627</v>
      </c>
      <c r="K392" s="15">
        <f>INDEX(数值规划表!$B$15:$B$18,MATCH(J392,攻击范围,0))</f>
        <v>0.7</v>
      </c>
      <c r="L392" s="30">
        <v>1</v>
      </c>
      <c r="M392" s="41">
        <v>0</v>
      </c>
      <c r="N392" s="15">
        <f t="shared" si="23"/>
        <v>46</v>
      </c>
      <c r="O392" s="15">
        <f t="shared" si="24"/>
        <v>1.38</v>
      </c>
      <c r="P392" s="15">
        <f>IF(G392,INDEX(monster!$J$2:$J$606,MATCH(skill!C392,monster!$A$2:$A$606,0)),Q392)</f>
        <v>4.5</v>
      </c>
      <c r="R392" s="33">
        <v>100</v>
      </c>
    </row>
    <row r="393" spans="1:18" x14ac:dyDescent="0.15">
      <c r="A393" s="32">
        <v>10425</v>
      </c>
      <c r="B393" s="32" t="s">
        <v>1704</v>
      </c>
      <c r="C393" s="31">
        <v>1256</v>
      </c>
      <c r="D393" s="32">
        <v>6</v>
      </c>
      <c r="E393" s="15">
        <f>INDEX(monster!$H$2:$H$617,MATCH(skill!C393,monster!$A$2:$A$617,0))</f>
        <v>73.45</v>
      </c>
      <c r="F393" s="15">
        <f>INDEX(monster!$I$2:$I$617,MATCH(C393,monster!$A$2:$A$617,0))</f>
        <v>2.2000000000000002</v>
      </c>
      <c r="G393" s="15" t="b">
        <f t="shared" si="22"/>
        <v>1</v>
      </c>
      <c r="H393" s="31">
        <v>0</v>
      </c>
      <c r="I393" s="15">
        <f>IF(H393&gt;0,HLOOKUP(R393/100,数值规划表!$B$37:$AA$39,3),1)</f>
        <v>1</v>
      </c>
      <c r="J393" s="31" t="s">
        <v>1627</v>
      </c>
      <c r="K393" s="15">
        <f>INDEX(数值规划表!$B$15:$B$18,MATCH(J393,攻击范围,0))</f>
        <v>0.7</v>
      </c>
      <c r="L393" s="30">
        <v>1</v>
      </c>
      <c r="M393" s="41">
        <v>0</v>
      </c>
      <c r="N393" s="15">
        <f t="shared" si="23"/>
        <v>51</v>
      </c>
      <c r="O393" s="15">
        <f t="shared" si="24"/>
        <v>1.54</v>
      </c>
      <c r="P393" s="15">
        <f>IF(G393,INDEX(monster!$J$2:$J$606,MATCH(skill!C393,monster!$A$2:$A$606,0)),Q393)</f>
        <v>4.5</v>
      </c>
      <c r="R393" s="33">
        <v>100</v>
      </c>
    </row>
    <row r="394" spans="1:18" x14ac:dyDescent="0.15">
      <c r="A394" s="32">
        <v>10426</v>
      </c>
      <c r="B394" s="32" t="s">
        <v>1705</v>
      </c>
      <c r="C394" s="31">
        <v>1257</v>
      </c>
      <c r="D394" s="32">
        <v>7</v>
      </c>
      <c r="E394" s="15">
        <f>INDEX(monster!$H$2:$H$617,MATCH(skill!C394,monster!$A$2:$A$617,0))</f>
        <v>82.26</v>
      </c>
      <c r="F394" s="15">
        <f>INDEX(monster!$I$2:$I$617,MATCH(C394,monster!$A$2:$A$617,0))</f>
        <v>2.4700000000000002</v>
      </c>
      <c r="G394" s="15" t="b">
        <f t="shared" si="22"/>
        <v>1</v>
      </c>
      <c r="H394" s="31">
        <v>0</v>
      </c>
      <c r="I394" s="15">
        <f>IF(H394&gt;0,HLOOKUP(R394/100,数值规划表!$B$37:$AA$39,3),1)</f>
        <v>1</v>
      </c>
      <c r="J394" s="31" t="s">
        <v>1627</v>
      </c>
      <c r="K394" s="15">
        <f>INDEX(数值规划表!$B$15:$B$18,MATCH(J394,攻击范围,0))</f>
        <v>0.7</v>
      </c>
      <c r="L394" s="30">
        <v>1</v>
      </c>
      <c r="M394" s="41">
        <v>0</v>
      </c>
      <c r="N394" s="15">
        <f t="shared" si="23"/>
        <v>58</v>
      </c>
      <c r="O394" s="15">
        <f t="shared" si="24"/>
        <v>1.73</v>
      </c>
      <c r="P394" s="15">
        <f>IF(G394,INDEX(monster!$J$2:$J$606,MATCH(skill!C394,monster!$A$2:$A$606,0)),Q394)</f>
        <v>4.5</v>
      </c>
      <c r="R394" s="33">
        <v>100</v>
      </c>
    </row>
    <row r="395" spans="1:18" x14ac:dyDescent="0.15">
      <c r="A395" s="32">
        <v>10427</v>
      </c>
      <c r="B395" s="32" t="s">
        <v>1706</v>
      </c>
      <c r="C395" s="31">
        <v>1258</v>
      </c>
      <c r="D395" s="32">
        <v>8</v>
      </c>
      <c r="E395" s="15">
        <f>INDEX(monster!$H$2:$H$617,MATCH(skill!C395,monster!$A$2:$A$617,0))</f>
        <v>92.13</v>
      </c>
      <c r="F395" s="15">
        <f>INDEX(monster!$I$2:$I$617,MATCH(C395,monster!$A$2:$A$617,0))</f>
        <v>2.76</v>
      </c>
      <c r="G395" s="15" t="b">
        <f t="shared" si="22"/>
        <v>1</v>
      </c>
      <c r="H395" s="31">
        <v>0</v>
      </c>
      <c r="I395" s="15">
        <f>IF(H395&gt;0,HLOOKUP(R395/100,数值规划表!$B$37:$AA$39,3),1)</f>
        <v>1</v>
      </c>
      <c r="J395" s="31" t="s">
        <v>1627</v>
      </c>
      <c r="K395" s="15">
        <f>INDEX(数值规划表!$B$15:$B$18,MATCH(J395,攻击范围,0))</f>
        <v>0.7</v>
      </c>
      <c r="L395" s="30">
        <v>1</v>
      </c>
      <c r="M395" s="41">
        <v>0</v>
      </c>
      <c r="N395" s="15">
        <f t="shared" si="23"/>
        <v>64</v>
      </c>
      <c r="O395" s="15">
        <f t="shared" si="24"/>
        <v>1.93</v>
      </c>
      <c r="P395" s="15">
        <f>IF(G395,INDEX(monster!$J$2:$J$606,MATCH(skill!C395,monster!$A$2:$A$606,0)),Q395)</f>
        <v>4.5</v>
      </c>
      <c r="R395" s="33">
        <v>100</v>
      </c>
    </row>
    <row r="396" spans="1:18" x14ac:dyDescent="0.15">
      <c r="A396" s="32">
        <v>10428</v>
      </c>
      <c r="B396" s="32" t="s">
        <v>1707</v>
      </c>
      <c r="C396" s="31">
        <v>1259</v>
      </c>
      <c r="D396" s="32">
        <v>9</v>
      </c>
      <c r="E396" s="15">
        <f>INDEX(monster!$H$2:$H$617,MATCH(skill!C396,monster!$A$2:$A$617,0))</f>
        <v>103.19</v>
      </c>
      <c r="F396" s="15">
        <f>INDEX(monster!$I$2:$I$617,MATCH(C396,monster!$A$2:$A$617,0))</f>
        <v>3.1</v>
      </c>
      <c r="G396" s="15" t="b">
        <f t="shared" si="22"/>
        <v>1</v>
      </c>
      <c r="H396" s="31">
        <v>0</v>
      </c>
      <c r="I396" s="15">
        <f>IF(H396&gt;0,HLOOKUP(R396/100,数值规划表!$B$37:$AA$39,3),1)</f>
        <v>1</v>
      </c>
      <c r="J396" s="31" t="s">
        <v>1627</v>
      </c>
      <c r="K396" s="15">
        <f>INDEX(数值规划表!$B$15:$B$18,MATCH(J396,攻击范围,0))</f>
        <v>0.7</v>
      </c>
      <c r="L396" s="30">
        <v>1</v>
      </c>
      <c r="M396" s="41">
        <v>0</v>
      </c>
      <c r="N396" s="15">
        <f t="shared" si="23"/>
        <v>72</v>
      </c>
      <c r="O396" s="15">
        <f t="shared" si="24"/>
        <v>2.17</v>
      </c>
      <c r="P396" s="15">
        <f>IF(G396,INDEX(monster!$J$2:$J$606,MATCH(skill!C396,monster!$A$2:$A$606,0)),Q396)</f>
        <v>4.5</v>
      </c>
      <c r="R396" s="33">
        <v>100</v>
      </c>
    </row>
    <row r="397" spans="1:18" x14ac:dyDescent="0.15">
      <c r="A397" s="32">
        <v>10429</v>
      </c>
      <c r="B397" s="32" t="s">
        <v>1708</v>
      </c>
      <c r="C397" s="31">
        <v>1260</v>
      </c>
      <c r="D397" s="32">
        <v>10</v>
      </c>
      <c r="E397" s="15">
        <f>INDEX(monster!$H$2:$H$617,MATCH(skill!C397,monster!$A$2:$A$617,0))</f>
        <v>115.57</v>
      </c>
      <c r="F397" s="15">
        <f>INDEX(monster!$I$2:$I$617,MATCH(C397,monster!$A$2:$A$617,0))</f>
        <v>3.47</v>
      </c>
      <c r="G397" s="15" t="b">
        <f t="shared" si="22"/>
        <v>1</v>
      </c>
      <c r="H397" s="31">
        <v>0</v>
      </c>
      <c r="I397" s="15">
        <f>IF(H397&gt;0,HLOOKUP(R397/100,数值规划表!$B$37:$AA$39,3),1)</f>
        <v>1</v>
      </c>
      <c r="J397" s="31" t="s">
        <v>1627</v>
      </c>
      <c r="K397" s="15">
        <f>INDEX(数值规划表!$B$15:$B$18,MATCH(J397,攻击范围,0))</f>
        <v>0.7</v>
      </c>
      <c r="L397" s="30">
        <v>1</v>
      </c>
      <c r="M397" s="41">
        <v>0</v>
      </c>
      <c r="N397" s="15">
        <f t="shared" si="23"/>
        <v>81</v>
      </c>
      <c r="O397" s="15">
        <f t="shared" si="24"/>
        <v>2.4300000000000002</v>
      </c>
      <c r="P397" s="15">
        <f>IF(G397,INDEX(monster!$J$2:$J$606,MATCH(skill!C397,monster!$A$2:$A$606,0)),Q397)</f>
        <v>4.5</v>
      </c>
      <c r="R397" s="33">
        <v>100</v>
      </c>
    </row>
    <row r="398" spans="1:18" s="38" customFormat="1" x14ac:dyDescent="0.15">
      <c r="A398" s="32">
        <v>10430</v>
      </c>
      <c r="B398" s="32" t="s">
        <v>2867</v>
      </c>
      <c r="C398" s="31">
        <v>1261</v>
      </c>
      <c r="D398" s="32">
        <v>0</v>
      </c>
      <c r="E398" s="15">
        <f>INDEX(monster!$H$2:$H$617,MATCH(skill!C398,monster!$A$2:$A$617,0))</f>
        <v>76.37</v>
      </c>
      <c r="F398" s="15">
        <f>INDEX(monster!$I$2:$I$617,MATCH(C398,monster!$A$2:$A$617,0))</f>
        <v>2.29</v>
      </c>
      <c r="G398" s="15" t="b">
        <f t="shared" si="22"/>
        <v>1</v>
      </c>
      <c r="H398" s="31">
        <v>1</v>
      </c>
      <c r="I398" s="15">
        <f>IF(H398&gt;0,HLOOKUP(R398/100,数值规划表!$B$37:$AA$39,3),1)</f>
        <v>1.296</v>
      </c>
      <c r="J398" s="31" t="s">
        <v>1625</v>
      </c>
      <c r="K398" s="15">
        <f>INDEX(数值规划表!$B$15:$B$18,MATCH(J398,攻击范围,0))</f>
        <v>1</v>
      </c>
      <c r="L398" s="30">
        <v>1</v>
      </c>
      <c r="M398" s="41">
        <v>0</v>
      </c>
      <c r="N398" s="15">
        <f t="shared" si="23"/>
        <v>99</v>
      </c>
      <c r="O398" s="15">
        <f t="shared" si="24"/>
        <v>2.97</v>
      </c>
      <c r="P398" s="15">
        <f>IF(G398,INDEX(monster!$J$2:$J$606,MATCH(skill!C398,monster!$A$2:$A$606,0)),Q398)</f>
        <v>1.2</v>
      </c>
      <c r="Q398" s="70"/>
      <c r="R398" s="33">
        <v>120</v>
      </c>
    </row>
    <row r="399" spans="1:18" s="38" customFormat="1" x14ac:dyDescent="0.15">
      <c r="A399" s="32">
        <v>10431</v>
      </c>
      <c r="B399" s="32" t="s">
        <v>2868</v>
      </c>
      <c r="C399" s="31">
        <v>1262</v>
      </c>
      <c r="D399" s="32">
        <v>1</v>
      </c>
      <c r="E399" s="15">
        <f>INDEX(monster!$H$2:$H$617,MATCH(skill!C399,monster!$A$2:$A$617,0))</f>
        <v>85.53</v>
      </c>
      <c r="F399" s="15">
        <f>INDEX(monster!$I$2:$I$617,MATCH(C399,monster!$A$2:$A$617,0))</f>
        <v>2.57</v>
      </c>
      <c r="G399" s="15" t="b">
        <f t="shared" si="22"/>
        <v>1</v>
      </c>
      <c r="H399" s="31">
        <v>1</v>
      </c>
      <c r="I399" s="15">
        <f>IF(H399&gt;0,HLOOKUP(R399/100,数值规划表!$B$37:$AA$39,3),1)</f>
        <v>1.296</v>
      </c>
      <c r="J399" s="31" t="s">
        <v>1625</v>
      </c>
      <c r="K399" s="15">
        <f>INDEX(数值规划表!$B$15:$B$18,MATCH(J399,攻击范围,0))</f>
        <v>1</v>
      </c>
      <c r="L399" s="30">
        <v>1</v>
      </c>
      <c r="M399" s="41">
        <v>0</v>
      </c>
      <c r="N399" s="15">
        <f t="shared" si="23"/>
        <v>111</v>
      </c>
      <c r="O399" s="15">
        <f t="shared" si="24"/>
        <v>3.33</v>
      </c>
      <c r="P399" s="15">
        <f>IF(G399,INDEX(monster!$J$2:$J$606,MATCH(skill!C399,monster!$A$2:$A$606,0)),Q399)</f>
        <v>1.2</v>
      </c>
      <c r="Q399" s="70"/>
      <c r="R399" s="33">
        <v>120</v>
      </c>
    </row>
    <row r="400" spans="1:18" s="38" customFormat="1" x14ac:dyDescent="0.15">
      <c r="A400" s="32">
        <v>10432</v>
      </c>
      <c r="B400" s="32" t="s">
        <v>846</v>
      </c>
      <c r="C400" s="31">
        <v>1263</v>
      </c>
      <c r="D400" s="32">
        <v>2</v>
      </c>
      <c r="E400" s="15">
        <f>INDEX(monster!$H$2:$H$617,MATCH(skill!C400,monster!$A$2:$A$617,0))</f>
        <v>95.8</v>
      </c>
      <c r="F400" s="15">
        <f>INDEX(monster!$I$2:$I$617,MATCH(C400,monster!$A$2:$A$617,0))</f>
        <v>2.87</v>
      </c>
      <c r="G400" s="15" t="b">
        <f t="shared" si="22"/>
        <v>1</v>
      </c>
      <c r="H400" s="31">
        <v>1</v>
      </c>
      <c r="I400" s="15">
        <f>IF(H400&gt;0,HLOOKUP(R400/100,数值规划表!$B$37:$AA$39,3),1)</f>
        <v>1.296</v>
      </c>
      <c r="J400" s="31" t="s">
        <v>1625</v>
      </c>
      <c r="K400" s="15">
        <f>INDEX(数值规划表!$B$15:$B$18,MATCH(J400,攻击范围,0))</f>
        <v>1</v>
      </c>
      <c r="L400" s="30">
        <v>1</v>
      </c>
      <c r="M400" s="41">
        <v>0</v>
      </c>
      <c r="N400" s="15">
        <f t="shared" si="23"/>
        <v>124</v>
      </c>
      <c r="O400" s="15">
        <f t="shared" si="24"/>
        <v>3.72</v>
      </c>
      <c r="P400" s="15">
        <f>IF(G400,INDEX(monster!$J$2:$J$606,MATCH(skill!C400,monster!$A$2:$A$606,0)),Q400)</f>
        <v>1.2</v>
      </c>
      <c r="Q400" s="70"/>
      <c r="R400" s="33">
        <v>120</v>
      </c>
    </row>
    <row r="401" spans="1:18" s="38" customFormat="1" x14ac:dyDescent="0.15">
      <c r="A401" s="32">
        <v>10433</v>
      </c>
      <c r="B401" s="32" t="s">
        <v>847</v>
      </c>
      <c r="C401" s="31">
        <v>1264</v>
      </c>
      <c r="D401" s="32">
        <v>3</v>
      </c>
      <c r="E401" s="15">
        <f>INDEX(monster!$H$2:$H$617,MATCH(skill!C401,monster!$A$2:$A$617,0))</f>
        <v>107.29</v>
      </c>
      <c r="F401" s="15">
        <f>INDEX(monster!$I$2:$I$617,MATCH(C401,monster!$A$2:$A$617,0))</f>
        <v>3.22</v>
      </c>
      <c r="G401" s="15" t="b">
        <f t="shared" si="22"/>
        <v>1</v>
      </c>
      <c r="H401" s="31">
        <v>1</v>
      </c>
      <c r="I401" s="15">
        <f>IF(H401&gt;0,HLOOKUP(R401/100,数值规划表!$B$37:$AA$39,3),1)</f>
        <v>1.296</v>
      </c>
      <c r="J401" s="31" t="s">
        <v>1625</v>
      </c>
      <c r="K401" s="15">
        <f>INDEX(数值规划表!$B$15:$B$18,MATCH(J401,攻击范围,0))</f>
        <v>1</v>
      </c>
      <c r="L401" s="30">
        <v>1</v>
      </c>
      <c r="M401" s="41">
        <v>0</v>
      </c>
      <c r="N401" s="15">
        <f t="shared" si="23"/>
        <v>139</v>
      </c>
      <c r="O401" s="15">
        <f t="shared" si="24"/>
        <v>4.17</v>
      </c>
      <c r="P401" s="15">
        <f>IF(G401,INDEX(monster!$J$2:$J$606,MATCH(skill!C401,monster!$A$2:$A$606,0)),Q401)</f>
        <v>1.2</v>
      </c>
      <c r="Q401" s="70"/>
      <c r="R401" s="33">
        <v>120</v>
      </c>
    </row>
    <row r="402" spans="1:18" s="38" customFormat="1" x14ac:dyDescent="0.15">
      <c r="A402" s="32">
        <v>10434</v>
      </c>
      <c r="B402" s="32" t="s">
        <v>848</v>
      </c>
      <c r="C402" s="31">
        <v>1265</v>
      </c>
      <c r="D402" s="32">
        <v>4</v>
      </c>
      <c r="E402" s="15">
        <f>INDEX(monster!$H$2:$H$617,MATCH(skill!C402,monster!$A$2:$A$617,0))</f>
        <v>120.17</v>
      </c>
      <c r="F402" s="15">
        <f>INDEX(monster!$I$2:$I$617,MATCH(C402,monster!$A$2:$A$617,0))</f>
        <v>3.61</v>
      </c>
      <c r="G402" s="15" t="b">
        <f t="shared" si="22"/>
        <v>1</v>
      </c>
      <c r="H402" s="31">
        <v>1</v>
      </c>
      <c r="I402" s="15">
        <f>IF(H402&gt;0,HLOOKUP(R402/100,数值规划表!$B$37:$AA$39,3),1)</f>
        <v>1.296</v>
      </c>
      <c r="J402" s="31" t="s">
        <v>1625</v>
      </c>
      <c r="K402" s="15">
        <f>INDEX(数值规划表!$B$15:$B$18,MATCH(J402,攻击范围,0))</f>
        <v>1</v>
      </c>
      <c r="L402" s="30">
        <v>1</v>
      </c>
      <c r="M402" s="41">
        <v>0</v>
      </c>
      <c r="N402" s="15">
        <f t="shared" si="23"/>
        <v>156</v>
      </c>
      <c r="O402" s="15">
        <f t="shared" si="24"/>
        <v>4.68</v>
      </c>
      <c r="P402" s="15">
        <f>IF(G402,INDEX(monster!$J$2:$J$606,MATCH(skill!C402,monster!$A$2:$A$606,0)),Q402)</f>
        <v>1.2</v>
      </c>
      <c r="Q402" s="70"/>
      <c r="R402" s="33">
        <v>120</v>
      </c>
    </row>
    <row r="403" spans="1:18" s="38" customFormat="1" x14ac:dyDescent="0.15">
      <c r="A403" s="32">
        <v>10435</v>
      </c>
      <c r="B403" s="32" t="s">
        <v>849</v>
      </c>
      <c r="C403" s="31">
        <v>1266</v>
      </c>
      <c r="D403" s="32">
        <v>5</v>
      </c>
      <c r="E403" s="15">
        <f>INDEX(monster!$H$2:$H$617,MATCH(skill!C403,monster!$A$2:$A$617,0))</f>
        <v>134.59</v>
      </c>
      <c r="F403" s="15">
        <f>INDEX(monster!$I$2:$I$617,MATCH(C403,monster!$A$2:$A$617,0))</f>
        <v>4.04</v>
      </c>
      <c r="G403" s="15" t="b">
        <f t="shared" si="22"/>
        <v>1</v>
      </c>
      <c r="H403" s="31">
        <v>1</v>
      </c>
      <c r="I403" s="15">
        <f>IF(H403&gt;0,HLOOKUP(R403/100,数值规划表!$B$37:$AA$39,3),1)</f>
        <v>1.296</v>
      </c>
      <c r="J403" s="31" t="s">
        <v>1625</v>
      </c>
      <c r="K403" s="15">
        <f>INDEX(数值规划表!$B$15:$B$18,MATCH(J403,攻击范围,0))</f>
        <v>1</v>
      </c>
      <c r="L403" s="30">
        <v>1</v>
      </c>
      <c r="M403" s="41">
        <v>0</v>
      </c>
      <c r="N403" s="15">
        <f t="shared" si="23"/>
        <v>174</v>
      </c>
      <c r="O403" s="15">
        <f t="shared" si="24"/>
        <v>5.24</v>
      </c>
      <c r="P403" s="15">
        <f>IF(G403,INDEX(monster!$J$2:$J$606,MATCH(skill!C403,monster!$A$2:$A$606,0)),Q403)</f>
        <v>1.2</v>
      </c>
      <c r="Q403" s="70"/>
      <c r="R403" s="33">
        <v>120</v>
      </c>
    </row>
    <row r="404" spans="1:18" s="38" customFormat="1" x14ac:dyDescent="0.15">
      <c r="A404" s="32">
        <v>10436</v>
      </c>
      <c r="B404" s="32" t="s">
        <v>850</v>
      </c>
      <c r="C404" s="31">
        <v>1267</v>
      </c>
      <c r="D404" s="32">
        <v>6</v>
      </c>
      <c r="E404" s="15">
        <f>INDEX(monster!$H$2:$H$617,MATCH(skill!C404,monster!$A$2:$A$617,0))</f>
        <v>150.74</v>
      </c>
      <c r="F404" s="15">
        <f>INDEX(monster!$I$2:$I$617,MATCH(C404,monster!$A$2:$A$617,0))</f>
        <v>4.5199999999999996</v>
      </c>
      <c r="G404" s="15" t="b">
        <f t="shared" si="22"/>
        <v>1</v>
      </c>
      <c r="H404" s="31">
        <v>1</v>
      </c>
      <c r="I404" s="15">
        <f>IF(H404&gt;0,HLOOKUP(R404/100,数值规划表!$B$37:$AA$39,3),1)</f>
        <v>1.296</v>
      </c>
      <c r="J404" s="31" t="s">
        <v>1625</v>
      </c>
      <c r="K404" s="15">
        <f>INDEX(数值规划表!$B$15:$B$18,MATCH(J404,攻击范围,0))</f>
        <v>1</v>
      </c>
      <c r="L404" s="30">
        <v>1</v>
      </c>
      <c r="M404" s="41">
        <v>0</v>
      </c>
      <c r="N404" s="15">
        <f t="shared" si="23"/>
        <v>195</v>
      </c>
      <c r="O404" s="15">
        <f t="shared" si="24"/>
        <v>5.86</v>
      </c>
      <c r="P404" s="15">
        <f>IF(G404,INDEX(monster!$J$2:$J$606,MATCH(skill!C404,monster!$A$2:$A$606,0)),Q404)</f>
        <v>1.2</v>
      </c>
      <c r="Q404" s="70"/>
      <c r="R404" s="33">
        <v>120</v>
      </c>
    </row>
    <row r="405" spans="1:18" s="38" customFormat="1" x14ac:dyDescent="0.15">
      <c r="A405" s="32">
        <v>10437</v>
      </c>
      <c r="B405" s="32" t="s">
        <v>851</v>
      </c>
      <c r="C405" s="31">
        <v>1268</v>
      </c>
      <c r="D405" s="32">
        <v>7</v>
      </c>
      <c r="E405" s="15">
        <f>INDEX(monster!$H$2:$H$617,MATCH(skill!C405,monster!$A$2:$A$617,0))</f>
        <v>168.83</v>
      </c>
      <c r="F405" s="15">
        <f>INDEX(monster!$I$2:$I$617,MATCH(C405,monster!$A$2:$A$617,0))</f>
        <v>5.0599999999999996</v>
      </c>
      <c r="G405" s="15" t="b">
        <f t="shared" si="22"/>
        <v>1</v>
      </c>
      <c r="H405" s="31">
        <v>1</v>
      </c>
      <c r="I405" s="15">
        <f>IF(H405&gt;0,HLOOKUP(R405/100,数值规划表!$B$37:$AA$39,3),1)</f>
        <v>1.296</v>
      </c>
      <c r="J405" s="31" t="s">
        <v>1625</v>
      </c>
      <c r="K405" s="15">
        <f>INDEX(数值规划表!$B$15:$B$18,MATCH(J405,攻击范围,0))</f>
        <v>1</v>
      </c>
      <c r="L405" s="30">
        <v>1</v>
      </c>
      <c r="M405" s="41">
        <v>0</v>
      </c>
      <c r="N405" s="15">
        <f t="shared" si="23"/>
        <v>219</v>
      </c>
      <c r="O405" s="15">
        <f t="shared" si="24"/>
        <v>6.56</v>
      </c>
      <c r="P405" s="15">
        <f>IF(G405,INDEX(monster!$J$2:$J$606,MATCH(skill!C405,monster!$A$2:$A$606,0)),Q405)</f>
        <v>1.2</v>
      </c>
      <c r="Q405" s="70"/>
      <c r="R405" s="33">
        <v>120</v>
      </c>
    </row>
    <row r="406" spans="1:18" s="38" customFormat="1" x14ac:dyDescent="0.15">
      <c r="A406" s="32">
        <v>10438</v>
      </c>
      <c r="B406" s="32" t="s">
        <v>852</v>
      </c>
      <c r="C406" s="31">
        <v>1269</v>
      </c>
      <c r="D406" s="32">
        <v>8</v>
      </c>
      <c r="E406" s="15">
        <f>INDEX(monster!$H$2:$H$617,MATCH(skill!C406,monster!$A$2:$A$617,0))</f>
        <v>189.09</v>
      </c>
      <c r="F406" s="15">
        <f>INDEX(monster!$I$2:$I$617,MATCH(C406,monster!$A$2:$A$617,0))</f>
        <v>5.67</v>
      </c>
      <c r="G406" s="15" t="b">
        <f t="shared" si="22"/>
        <v>1</v>
      </c>
      <c r="H406" s="31">
        <v>1</v>
      </c>
      <c r="I406" s="15">
        <f>IF(H406&gt;0,HLOOKUP(R406/100,数值规划表!$B$37:$AA$39,3),1)</f>
        <v>1.296</v>
      </c>
      <c r="J406" s="31" t="s">
        <v>1625</v>
      </c>
      <c r="K406" s="15">
        <f>INDEX(数值规划表!$B$15:$B$18,MATCH(J406,攻击范围,0))</f>
        <v>1</v>
      </c>
      <c r="L406" s="30">
        <v>1</v>
      </c>
      <c r="M406" s="41">
        <v>0</v>
      </c>
      <c r="N406" s="15">
        <f t="shared" si="23"/>
        <v>245</v>
      </c>
      <c r="O406" s="15">
        <f t="shared" si="24"/>
        <v>7.35</v>
      </c>
      <c r="P406" s="15">
        <f>IF(G406,INDEX(monster!$J$2:$J$606,MATCH(skill!C406,monster!$A$2:$A$606,0)),Q406)</f>
        <v>1.2</v>
      </c>
      <c r="Q406" s="70"/>
      <c r="R406" s="33">
        <v>120</v>
      </c>
    </row>
    <row r="407" spans="1:18" s="38" customFormat="1" x14ac:dyDescent="0.15">
      <c r="A407" s="32">
        <v>10439</v>
      </c>
      <c r="B407" s="32" t="s">
        <v>853</v>
      </c>
      <c r="C407" s="31">
        <v>1270</v>
      </c>
      <c r="D407" s="32">
        <v>9</v>
      </c>
      <c r="E407" s="15">
        <f>INDEX(monster!$H$2:$H$617,MATCH(skill!C407,monster!$A$2:$A$617,0))</f>
        <v>211.78</v>
      </c>
      <c r="F407" s="15">
        <f>INDEX(monster!$I$2:$I$617,MATCH(C407,monster!$A$2:$A$617,0))</f>
        <v>6.35</v>
      </c>
      <c r="G407" s="15" t="b">
        <f t="shared" si="22"/>
        <v>1</v>
      </c>
      <c r="H407" s="31">
        <v>1</v>
      </c>
      <c r="I407" s="15">
        <f>IF(H407&gt;0,HLOOKUP(R407/100,数值规划表!$B$37:$AA$39,3),1)</f>
        <v>1.296</v>
      </c>
      <c r="J407" s="31" t="s">
        <v>1625</v>
      </c>
      <c r="K407" s="15">
        <f>INDEX(数值规划表!$B$15:$B$18,MATCH(J407,攻击范围,0))</f>
        <v>1</v>
      </c>
      <c r="L407" s="30">
        <v>1</v>
      </c>
      <c r="M407" s="41">
        <v>0</v>
      </c>
      <c r="N407" s="15">
        <f t="shared" si="23"/>
        <v>274</v>
      </c>
      <c r="O407" s="15">
        <f t="shared" si="24"/>
        <v>8.23</v>
      </c>
      <c r="P407" s="15">
        <f>IF(G407,INDEX(monster!$J$2:$J$606,MATCH(skill!C407,monster!$A$2:$A$606,0)),Q407)</f>
        <v>1.2</v>
      </c>
      <c r="Q407" s="70"/>
      <c r="R407" s="33">
        <v>120</v>
      </c>
    </row>
    <row r="408" spans="1:18" s="38" customFormat="1" x14ac:dyDescent="0.15">
      <c r="A408" s="32">
        <v>10440</v>
      </c>
      <c r="B408" s="32" t="s">
        <v>854</v>
      </c>
      <c r="C408" s="31">
        <v>1271</v>
      </c>
      <c r="D408" s="32">
        <v>10</v>
      </c>
      <c r="E408" s="15">
        <f>INDEX(monster!$H$2:$H$617,MATCH(skill!C408,monster!$A$2:$A$617,0))</f>
        <v>237.19</v>
      </c>
      <c r="F408" s="15">
        <f>INDEX(monster!$I$2:$I$617,MATCH(C408,monster!$A$2:$A$617,0))</f>
        <v>7.12</v>
      </c>
      <c r="G408" s="15" t="b">
        <f t="shared" si="22"/>
        <v>1</v>
      </c>
      <c r="H408" s="31">
        <v>1</v>
      </c>
      <c r="I408" s="15">
        <f>IF(H408&gt;0,HLOOKUP(R408/100,数值规划表!$B$37:$AA$39,3),1)</f>
        <v>1.296</v>
      </c>
      <c r="J408" s="31" t="s">
        <v>1625</v>
      </c>
      <c r="K408" s="15">
        <f>INDEX(数值规划表!$B$15:$B$18,MATCH(J408,攻击范围,0))</f>
        <v>1</v>
      </c>
      <c r="L408" s="30">
        <v>1</v>
      </c>
      <c r="M408" s="41">
        <v>0</v>
      </c>
      <c r="N408" s="15">
        <f t="shared" si="23"/>
        <v>307</v>
      </c>
      <c r="O408" s="15">
        <f t="shared" si="24"/>
        <v>9.23</v>
      </c>
      <c r="P408" s="15">
        <f>IF(G408,INDEX(monster!$J$2:$J$606,MATCH(skill!C408,monster!$A$2:$A$606,0)),Q408)</f>
        <v>1.2</v>
      </c>
      <c r="Q408" s="70"/>
      <c r="R408" s="33">
        <v>120</v>
      </c>
    </row>
    <row r="409" spans="1:18" x14ac:dyDescent="0.15">
      <c r="A409" s="32">
        <v>10441</v>
      </c>
      <c r="B409" s="32" t="s">
        <v>2869</v>
      </c>
      <c r="C409" s="31">
        <v>1261</v>
      </c>
      <c r="D409" s="32">
        <v>0</v>
      </c>
      <c r="E409" s="15">
        <f>INDEX(monster!$H$2:$H$617,MATCH(skill!C409,monster!$A$2:$A$617,0))</f>
        <v>76.37</v>
      </c>
      <c r="F409" s="15">
        <f>INDEX(monster!$I$2:$I$617,MATCH(C409,monster!$A$2:$A$617,0))</f>
        <v>2.29</v>
      </c>
      <c r="G409" s="15" t="b">
        <f t="shared" si="22"/>
        <v>0</v>
      </c>
      <c r="H409" s="31">
        <v>0</v>
      </c>
      <c r="I409" s="15">
        <f>IF(H409&gt;0,HLOOKUP(R409/100,数值规划表!$B$37:$AA$39,3),1)</f>
        <v>1</v>
      </c>
      <c r="J409" s="31" t="s">
        <v>1627</v>
      </c>
      <c r="K409" s="15">
        <f>INDEX(数值规划表!$B$15:$B$18,MATCH(J409,攻击范围,0))</f>
        <v>0.7</v>
      </c>
      <c r="L409" s="30">
        <v>1</v>
      </c>
      <c r="M409" s="41">
        <v>0</v>
      </c>
      <c r="N409" s="15">
        <f t="shared" si="23"/>
        <v>53</v>
      </c>
      <c r="O409" s="15">
        <f t="shared" si="24"/>
        <v>1.6</v>
      </c>
      <c r="P409" s="15">
        <f>IF(G409,INDEX(monster!$J$2:$J$606,MATCH(skill!C409,monster!$A$2:$A$606,0)),Q409)</f>
        <v>0.5</v>
      </c>
      <c r="Q409" s="70">
        <v>0.5</v>
      </c>
      <c r="R409" s="33">
        <v>100</v>
      </c>
    </row>
    <row r="410" spans="1:18" x14ac:dyDescent="0.15">
      <c r="A410" s="32">
        <v>10442</v>
      </c>
      <c r="B410" s="32" t="s">
        <v>2870</v>
      </c>
      <c r="C410" s="31">
        <v>1262</v>
      </c>
      <c r="D410" s="32">
        <v>1</v>
      </c>
      <c r="E410" s="15">
        <f>INDEX(monster!$H$2:$H$617,MATCH(skill!C410,monster!$A$2:$A$617,0))</f>
        <v>85.53</v>
      </c>
      <c r="F410" s="15">
        <f>INDEX(monster!$I$2:$I$617,MATCH(C410,monster!$A$2:$A$617,0))</f>
        <v>2.57</v>
      </c>
      <c r="G410" s="15" t="b">
        <f t="shared" si="22"/>
        <v>0</v>
      </c>
      <c r="H410" s="31">
        <v>0</v>
      </c>
      <c r="I410" s="15">
        <f>IF(H410&gt;0,HLOOKUP(R410/100,数值规划表!$B$37:$AA$39,3),1)</f>
        <v>1</v>
      </c>
      <c r="J410" s="31" t="s">
        <v>1627</v>
      </c>
      <c r="K410" s="15">
        <f>INDEX(数值规划表!$B$15:$B$18,MATCH(J410,攻击范围,0))</f>
        <v>0.7</v>
      </c>
      <c r="L410" s="30">
        <v>1</v>
      </c>
      <c r="M410" s="41">
        <v>0</v>
      </c>
      <c r="N410" s="15">
        <f t="shared" si="23"/>
        <v>60</v>
      </c>
      <c r="O410" s="15">
        <f t="shared" si="24"/>
        <v>1.8</v>
      </c>
      <c r="P410" s="15">
        <f>IF(G410,INDEX(monster!$J$2:$J$606,MATCH(skill!C410,monster!$A$2:$A$606,0)),Q410)</f>
        <v>0.5</v>
      </c>
      <c r="Q410" s="70">
        <v>0.5</v>
      </c>
      <c r="R410" s="33">
        <v>100</v>
      </c>
    </row>
    <row r="411" spans="1:18" x14ac:dyDescent="0.15">
      <c r="A411" s="32">
        <v>10443</v>
      </c>
      <c r="B411" s="32" t="s">
        <v>855</v>
      </c>
      <c r="C411" s="31">
        <v>1263</v>
      </c>
      <c r="D411" s="32">
        <v>2</v>
      </c>
      <c r="E411" s="15">
        <f>INDEX(monster!$H$2:$H$617,MATCH(skill!C411,monster!$A$2:$A$617,0))</f>
        <v>95.8</v>
      </c>
      <c r="F411" s="15">
        <f>INDEX(monster!$I$2:$I$617,MATCH(C411,monster!$A$2:$A$617,0))</f>
        <v>2.87</v>
      </c>
      <c r="G411" s="15" t="b">
        <f t="shared" si="22"/>
        <v>0</v>
      </c>
      <c r="H411" s="31">
        <v>0</v>
      </c>
      <c r="I411" s="15">
        <f>IF(H411&gt;0,HLOOKUP(R411/100,数值规划表!$B$37:$AA$39,3),1)</f>
        <v>1</v>
      </c>
      <c r="J411" s="31" t="s">
        <v>1627</v>
      </c>
      <c r="K411" s="15">
        <f>INDEX(数值规划表!$B$15:$B$18,MATCH(J411,攻击范围,0))</f>
        <v>0.7</v>
      </c>
      <c r="L411" s="30">
        <v>1</v>
      </c>
      <c r="M411" s="41">
        <v>0</v>
      </c>
      <c r="N411" s="15">
        <f t="shared" si="23"/>
        <v>67</v>
      </c>
      <c r="O411" s="15">
        <f t="shared" si="24"/>
        <v>2.0099999999999998</v>
      </c>
      <c r="P411" s="15">
        <f>IF(G411,INDEX(monster!$J$2:$J$606,MATCH(skill!C411,monster!$A$2:$A$606,0)),Q411)</f>
        <v>0.5</v>
      </c>
      <c r="Q411" s="70">
        <v>0.5</v>
      </c>
      <c r="R411" s="33">
        <v>100</v>
      </c>
    </row>
    <row r="412" spans="1:18" x14ac:dyDescent="0.15">
      <c r="A412" s="32">
        <v>10444</v>
      </c>
      <c r="B412" s="32" t="s">
        <v>856</v>
      </c>
      <c r="C412" s="31">
        <v>1264</v>
      </c>
      <c r="D412" s="32">
        <v>3</v>
      </c>
      <c r="E412" s="15">
        <f>INDEX(monster!$H$2:$H$617,MATCH(skill!C412,monster!$A$2:$A$617,0))</f>
        <v>107.29</v>
      </c>
      <c r="F412" s="15">
        <f>INDEX(monster!$I$2:$I$617,MATCH(C412,monster!$A$2:$A$617,0))</f>
        <v>3.22</v>
      </c>
      <c r="G412" s="15" t="b">
        <f t="shared" si="22"/>
        <v>0</v>
      </c>
      <c r="H412" s="31">
        <v>0</v>
      </c>
      <c r="I412" s="15">
        <f>IF(H412&gt;0,HLOOKUP(R412/100,数值规划表!$B$37:$AA$39,3),1)</f>
        <v>1</v>
      </c>
      <c r="J412" s="31" t="s">
        <v>1627</v>
      </c>
      <c r="K412" s="15">
        <f>INDEX(数值规划表!$B$15:$B$18,MATCH(J412,攻击范围,0))</f>
        <v>0.7</v>
      </c>
      <c r="L412" s="30">
        <v>1</v>
      </c>
      <c r="M412" s="41">
        <v>0</v>
      </c>
      <c r="N412" s="15">
        <f t="shared" si="23"/>
        <v>75</v>
      </c>
      <c r="O412" s="15">
        <f t="shared" si="24"/>
        <v>2.25</v>
      </c>
      <c r="P412" s="15">
        <f>IF(G412,INDEX(monster!$J$2:$J$606,MATCH(skill!C412,monster!$A$2:$A$606,0)),Q412)</f>
        <v>0.5</v>
      </c>
      <c r="Q412" s="70">
        <v>0.5</v>
      </c>
      <c r="R412" s="33">
        <v>100</v>
      </c>
    </row>
    <row r="413" spans="1:18" x14ac:dyDescent="0.15">
      <c r="A413" s="32">
        <v>10445</v>
      </c>
      <c r="B413" s="32" t="s">
        <v>857</v>
      </c>
      <c r="C413" s="31">
        <v>1265</v>
      </c>
      <c r="D413" s="32">
        <v>4</v>
      </c>
      <c r="E413" s="15">
        <f>INDEX(monster!$H$2:$H$617,MATCH(skill!C413,monster!$A$2:$A$617,0))</f>
        <v>120.17</v>
      </c>
      <c r="F413" s="15">
        <f>INDEX(monster!$I$2:$I$617,MATCH(C413,monster!$A$2:$A$617,0))</f>
        <v>3.61</v>
      </c>
      <c r="G413" s="15" t="b">
        <f t="shared" si="22"/>
        <v>0</v>
      </c>
      <c r="H413" s="31">
        <v>0</v>
      </c>
      <c r="I413" s="15">
        <f>IF(H413&gt;0,HLOOKUP(R413/100,数值规划表!$B$37:$AA$39,3),1)</f>
        <v>1</v>
      </c>
      <c r="J413" s="31" t="s">
        <v>1627</v>
      </c>
      <c r="K413" s="15">
        <f>INDEX(数值规划表!$B$15:$B$18,MATCH(J413,攻击范围,0))</f>
        <v>0.7</v>
      </c>
      <c r="L413" s="30">
        <v>1</v>
      </c>
      <c r="M413" s="41">
        <v>0</v>
      </c>
      <c r="N413" s="15">
        <f t="shared" si="23"/>
        <v>84</v>
      </c>
      <c r="O413" s="15">
        <f t="shared" si="24"/>
        <v>2.5299999999999998</v>
      </c>
      <c r="P413" s="15">
        <f>IF(G413,INDEX(monster!$J$2:$J$606,MATCH(skill!C413,monster!$A$2:$A$606,0)),Q413)</f>
        <v>0.5</v>
      </c>
      <c r="Q413" s="70">
        <v>0.5</v>
      </c>
      <c r="R413" s="33">
        <v>100</v>
      </c>
    </row>
    <row r="414" spans="1:18" x14ac:dyDescent="0.15">
      <c r="A414" s="32">
        <v>10446</v>
      </c>
      <c r="B414" s="32" t="s">
        <v>858</v>
      </c>
      <c r="C414" s="31">
        <v>1266</v>
      </c>
      <c r="D414" s="32">
        <v>5</v>
      </c>
      <c r="E414" s="15">
        <f>INDEX(monster!$H$2:$H$617,MATCH(skill!C414,monster!$A$2:$A$617,0))</f>
        <v>134.59</v>
      </c>
      <c r="F414" s="15">
        <f>INDEX(monster!$I$2:$I$617,MATCH(C414,monster!$A$2:$A$617,0))</f>
        <v>4.04</v>
      </c>
      <c r="G414" s="15" t="b">
        <f t="shared" si="22"/>
        <v>0</v>
      </c>
      <c r="H414" s="31">
        <v>0</v>
      </c>
      <c r="I414" s="15">
        <f>IF(H414&gt;0,HLOOKUP(R414/100,数值规划表!$B$37:$AA$39,3),1)</f>
        <v>1</v>
      </c>
      <c r="J414" s="31" t="s">
        <v>1627</v>
      </c>
      <c r="K414" s="15">
        <f>INDEX(数值规划表!$B$15:$B$18,MATCH(J414,攻击范围,0))</f>
        <v>0.7</v>
      </c>
      <c r="L414" s="30">
        <v>1</v>
      </c>
      <c r="M414" s="41">
        <v>0</v>
      </c>
      <c r="N414" s="15">
        <f t="shared" si="23"/>
        <v>94</v>
      </c>
      <c r="O414" s="15">
        <f t="shared" si="24"/>
        <v>2.83</v>
      </c>
      <c r="P414" s="15">
        <f>IF(G414,INDEX(monster!$J$2:$J$606,MATCH(skill!C414,monster!$A$2:$A$606,0)),Q414)</f>
        <v>0.5</v>
      </c>
      <c r="Q414" s="70">
        <v>0.5</v>
      </c>
      <c r="R414" s="33">
        <v>100</v>
      </c>
    </row>
    <row r="415" spans="1:18" x14ac:dyDescent="0.15">
      <c r="A415" s="32">
        <v>10447</v>
      </c>
      <c r="B415" s="32" t="s">
        <v>859</v>
      </c>
      <c r="C415" s="31">
        <v>1267</v>
      </c>
      <c r="D415" s="32">
        <v>6</v>
      </c>
      <c r="E415" s="15">
        <f>INDEX(monster!$H$2:$H$617,MATCH(skill!C415,monster!$A$2:$A$617,0))</f>
        <v>150.74</v>
      </c>
      <c r="F415" s="15">
        <f>INDEX(monster!$I$2:$I$617,MATCH(C415,monster!$A$2:$A$617,0))</f>
        <v>4.5199999999999996</v>
      </c>
      <c r="G415" s="15" t="b">
        <f t="shared" si="22"/>
        <v>0</v>
      </c>
      <c r="H415" s="31">
        <v>0</v>
      </c>
      <c r="I415" s="15">
        <f>IF(H415&gt;0,HLOOKUP(R415/100,数值规划表!$B$37:$AA$39,3),1)</f>
        <v>1</v>
      </c>
      <c r="J415" s="31" t="s">
        <v>1627</v>
      </c>
      <c r="K415" s="15">
        <f>INDEX(数值规划表!$B$15:$B$18,MATCH(J415,攻击范围,0))</f>
        <v>0.7</v>
      </c>
      <c r="L415" s="30">
        <v>1</v>
      </c>
      <c r="M415" s="41">
        <v>0</v>
      </c>
      <c r="N415" s="15">
        <f t="shared" si="23"/>
        <v>106</v>
      </c>
      <c r="O415" s="15">
        <f t="shared" si="24"/>
        <v>3.16</v>
      </c>
      <c r="P415" s="15">
        <f>IF(G415,INDEX(monster!$J$2:$J$606,MATCH(skill!C415,monster!$A$2:$A$606,0)),Q415)</f>
        <v>0.5</v>
      </c>
      <c r="Q415" s="70">
        <v>0.5</v>
      </c>
      <c r="R415" s="33">
        <v>100</v>
      </c>
    </row>
    <row r="416" spans="1:18" x14ac:dyDescent="0.15">
      <c r="A416" s="32">
        <v>10448</v>
      </c>
      <c r="B416" s="32" t="s">
        <v>860</v>
      </c>
      <c r="C416" s="31">
        <v>1268</v>
      </c>
      <c r="D416" s="32">
        <v>7</v>
      </c>
      <c r="E416" s="15">
        <f>INDEX(monster!$H$2:$H$617,MATCH(skill!C416,monster!$A$2:$A$617,0))</f>
        <v>168.83</v>
      </c>
      <c r="F416" s="15">
        <f>INDEX(monster!$I$2:$I$617,MATCH(C416,monster!$A$2:$A$617,0))</f>
        <v>5.0599999999999996</v>
      </c>
      <c r="G416" s="15" t="b">
        <f t="shared" si="22"/>
        <v>0</v>
      </c>
      <c r="H416" s="31">
        <v>0</v>
      </c>
      <c r="I416" s="15">
        <f>IF(H416&gt;0,HLOOKUP(R416/100,数值规划表!$B$37:$AA$39,3),1)</f>
        <v>1</v>
      </c>
      <c r="J416" s="31" t="s">
        <v>1627</v>
      </c>
      <c r="K416" s="15">
        <f>INDEX(数值规划表!$B$15:$B$18,MATCH(J416,攻击范围,0))</f>
        <v>0.7</v>
      </c>
      <c r="L416" s="30">
        <v>1</v>
      </c>
      <c r="M416" s="41">
        <v>0</v>
      </c>
      <c r="N416" s="15">
        <f t="shared" si="23"/>
        <v>118</v>
      </c>
      <c r="O416" s="15">
        <f t="shared" si="24"/>
        <v>3.54</v>
      </c>
      <c r="P416" s="15">
        <f>IF(G416,INDEX(monster!$J$2:$J$606,MATCH(skill!C416,monster!$A$2:$A$606,0)),Q416)</f>
        <v>0.5</v>
      </c>
      <c r="Q416" s="70">
        <v>0.5</v>
      </c>
      <c r="R416" s="33">
        <v>100</v>
      </c>
    </row>
    <row r="417" spans="1:18" x14ac:dyDescent="0.15">
      <c r="A417" s="32">
        <v>10449</v>
      </c>
      <c r="B417" s="32" t="s">
        <v>861</v>
      </c>
      <c r="C417" s="31">
        <v>1269</v>
      </c>
      <c r="D417" s="32">
        <v>8</v>
      </c>
      <c r="E417" s="15">
        <f>INDEX(monster!$H$2:$H$617,MATCH(skill!C417,monster!$A$2:$A$617,0))</f>
        <v>189.09</v>
      </c>
      <c r="F417" s="15">
        <f>INDEX(monster!$I$2:$I$617,MATCH(C417,monster!$A$2:$A$617,0))</f>
        <v>5.67</v>
      </c>
      <c r="G417" s="15" t="b">
        <f t="shared" ref="G417:G491" si="25">ISNUMBER(FIND("普攻",B417))</f>
        <v>0</v>
      </c>
      <c r="H417" s="31">
        <v>0</v>
      </c>
      <c r="I417" s="15">
        <f>IF(H417&gt;0,HLOOKUP(R417/100,数值规划表!$B$37:$AA$39,3),1)</f>
        <v>1</v>
      </c>
      <c r="J417" s="31" t="s">
        <v>1627</v>
      </c>
      <c r="K417" s="15">
        <f>INDEX(数值规划表!$B$15:$B$18,MATCH(J417,攻击范围,0))</f>
        <v>0.7</v>
      </c>
      <c r="L417" s="30">
        <v>1</v>
      </c>
      <c r="M417" s="41">
        <v>0</v>
      </c>
      <c r="N417" s="15">
        <f t="shared" si="23"/>
        <v>132</v>
      </c>
      <c r="O417" s="15">
        <f t="shared" si="24"/>
        <v>3.97</v>
      </c>
      <c r="P417" s="15">
        <f>IF(G417,INDEX(monster!$J$2:$J$606,MATCH(skill!C417,monster!$A$2:$A$606,0)),Q417)</f>
        <v>0.5</v>
      </c>
      <c r="Q417" s="70">
        <v>0.5</v>
      </c>
      <c r="R417" s="33">
        <v>100</v>
      </c>
    </row>
    <row r="418" spans="1:18" x14ac:dyDescent="0.15">
      <c r="A418" s="32">
        <v>10450</v>
      </c>
      <c r="B418" s="32" t="s">
        <v>862</v>
      </c>
      <c r="C418" s="31">
        <v>1270</v>
      </c>
      <c r="D418" s="32">
        <v>9</v>
      </c>
      <c r="E418" s="15">
        <f>INDEX(monster!$H$2:$H$617,MATCH(skill!C418,monster!$A$2:$A$617,0))</f>
        <v>211.78</v>
      </c>
      <c r="F418" s="15">
        <f>INDEX(monster!$I$2:$I$617,MATCH(C418,monster!$A$2:$A$617,0))</f>
        <v>6.35</v>
      </c>
      <c r="G418" s="15" t="b">
        <f t="shared" si="25"/>
        <v>0</v>
      </c>
      <c r="H418" s="31">
        <v>0</v>
      </c>
      <c r="I418" s="15">
        <f>IF(H418&gt;0,HLOOKUP(R418/100,数值规划表!$B$37:$AA$39,3),1)</f>
        <v>1</v>
      </c>
      <c r="J418" s="31" t="s">
        <v>1627</v>
      </c>
      <c r="K418" s="15">
        <f>INDEX(数值规划表!$B$15:$B$18,MATCH(J418,攻击范围,0))</f>
        <v>0.7</v>
      </c>
      <c r="L418" s="30">
        <v>1</v>
      </c>
      <c r="M418" s="41">
        <v>0</v>
      </c>
      <c r="N418" s="15">
        <f t="shared" si="23"/>
        <v>148</v>
      </c>
      <c r="O418" s="15">
        <f t="shared" si="24"/>
        <v>4.45</v>
      </c>
      <c r="P418" s="15">
        <f>IF(G418,INDEX(monster!$J$2:$J$606,MATCH(skill!C418,monster!$A$2:$A$606,0)),Q418)</f>
        <v>0.5</v>
      </c>
      <c r="Q418" s="70">
        <v>0.5</v>
      </c>
      <c r="R418" s="33">
        <v>100</v>
      </c>
    </row>
    <row r="419" spans="1:18" x14ac:dyDescent="0.15">
      <c r="A419" s="32">
        <v>10451</v>
      </c>
      <c r="B419" s="32" t="s">
        <v>863</v>
      </c>
      <c r="C419" s="31">
        <v>1271</v>
      </c>
      <c r="D419" s="32">
        <v>10</v>
      </c>
      <c r="E419" s="15">
        <f>INDEX(monster!$H$2:$H$617,MATCH(skill!C419,monster!$A$2:$A$617,0))</f>
        <v>237.19</v>
      </c>
      <c r="F419" s="15">
        <f>INDEX(monster!$I$2:$I$617,MATCH(C419,monster!$A$2:$A$617,0))</f>
        <v>7.12</v>
      </c>
      <c r="G419" s="15" t="b">
        <f t="shared" si="25"/>
        <v>0</v>
      </c>
      <c r="H419" s="31">
        <v>0</v>
      </c>
      <c r="I419" s="15">
        <f>IF(H419&gt;0,HLOOKUP(R419/100,数值规划表!$B$37:$AA$39,3),1)</f>
        <v>1</v>
      </c>
      <c r="J419" s="31" t="s">
        <v>1627</v>
      </c>
      <c r="K419" s="15">
        <f>INDEX(数值规划表!$B$15:$B$18,MATCH(J419,攻击范围,0))</f>
        <v>0.7</v>
      </c>
      <c r="L419" s="30">
        <v>1</v>
      </c>
      <c r="M419" s="41">
        <v>0</v>
      </c>
      <c r="N419" s="15">
        <f t="shared" si="23"/>
        <v>166</v>
      </c>
      <c r="O419" s="15">
        <f t="shared" si="24"/>
        <v>4.9800000000000004</v>
      </c>
      <c r="P419" s="15">
        <f>IF(G419,INDEX(monster!$J$2:$J$606,MATCH(skill!C419,monster!$A$2:$A$606,0)),Q419)</f>
        <v>0.5</v>
      </c>
      <c r="Q419" s="70">
        <v>0.5</v>
      </c>
      <c r="R419" s="33">
        <v>100</v>
      </c>
    </row>
    <row r="420" spans="1:18" s="38" customFormat="1" x14ac:dyDescent="0.15">
      <c r="A420" s="32">
        <v>10452</v>
      </c>
      <c r="B420" s="32" t="s">
        <v>2871</v>
      </c>
      <c r="C420" s="31">
        <v>1272</v>
      </c>
      <c r="D420" s="32">
        <v>0</v>
      </c>
      <c r="E420" s="15">
        <f>INDEX(monster!$H$2:$H$617,MATCH(skill!C420,monster!$A$2:$A$617,0))</f>
        <v>47.73</v>
      </c>
      <c r="F420" s="15">
        <f>INDEX(monster!$I$2:$I$617,MATCH(C420,monster!$A$2:$A$617,0))</f>
        <v>1.43</v>
      </c>
      <c r="G420" s="15" t="b">
        <f t="shared" si="25"/>
        <v>1</v>
      </c>
      <c r="H420" s="31">
        <v>1</v>
      </c>
      <c r="I420" s="15">
        <f>IF(H420&gt;0,HLOOKUP(R420/100,数值规划表!$B$37:$AA$39,3),1)</f>
        <v>1.296</v>
      </c>
      <c r="J420" s="31" t="s">
        <v>1625</v>
      </c>
      <c r="K420" s="15">
        <f>INDEX(数值规划表!$B$15:$B$18,MATCH(J420,攻击范围,0))</f>
        <v>1</v>
      </c>
      <c r="L420" s="30">
        <v>1</v>
      </c>
      <c r="M420" s="41">
        <v>0</v>
      </c>
      <c r="N420" s="15">
        <f t="shared" si="23"/>
        <v>62</v>
      </c>
      <c r="O420" s="15">
        <f t="shared" si="24"/>
        <v>1.85</v>
      </c>
      <c r="P420" s="15">
        <f>IF(G420,INDEX(monster!$J$2:$J$606,MATCH(skill!C420,monster!$A$2:$A$606,0)),Q420)</f>
        <v>1.2</v>
      </c>
      <c r="Q420" s="70"/>
      <c r="R420" s="33">
        <v>120</v>
      </c>
    </row>
    <row r="421" spans="1:18" s="38" customFormat="1" x14ac:dyDescent="0.15">
      <c r="A421" s="32">
        <v>10453</v>
      </c>
      <c r="B421" s="32" t="s">
        <v>2872</v>
      </c>
      <c r="C421" s="31">
        <v>1273</v>
      </c>
      <c r="D421" s="32">
        <v>1</v>
      </c>
      <c r="E421" s="15">
        <f>INDEX(monster!$H$2:$H$617,MATCH(skill!C421,monster!$A$2:$A$617,0))</f>
        <v>53.46</v>
      </c>
      <c r="F421" s="15">
        <f>INDEX(monster!$I$2:$I$617,MATCH(C421,monster!$A$2:$A$617,0))</f>
        <v>1.6</v>
      </c>
      <c r="G421" s="15" t="b">
        <f t="shared" si="25"/>
        <v>1</v>
      </c>
      <c r="H421" s="31">
        <v>1</v>
      </c>
      <c r="I421" s="15">
        <f>IF(H421&gt;0,HLOOKUP(R421/100,数值规划表!$B$37:$AA$39,3),1)</f>
        <v>1.296</v>
      </c>
      <c r="J421" s="31" t="s">
        <v>1625</v>
      </c>
      <c r="K421" s="15">
        <f>INDEX(数值规划表!$B$15:$B$18,MATCH(J421,攻击范围,0))</f>
        <v>1</v>
      </c>
      <c r="L421" s="30">
        <v>1</v>
      </c>
      <c r="M421" s="41">
        <v>0</v>
      </c>
      <c r="N421" s="15">
        <f t="shared" si="23"/>
        <v>69</v>
      </c>
      <c r="O421" s="15">
        <f t="shared" si="24"/>
        <v>2.0699999999999998</v>
      </c>
      <c r="P421" s="15">
        <f>IF(G421,INDEX(monster!$J$2:$J$606,MATCH(skill!C421,monster!$A$2:$A$606,0)),Q421)</f>
        <v>1.2</v>
      </c>
      <c r="Q421" s="70"/>
      <c r="R421" s="33">
        <v>120</v>
      </c>
    </row>
    <row r="422" spans="1:18" s="38" customFormat="1" x14ac:dyDescent="0.15">
      <c r="A422" s="32">
        <v>10454</v>
      </c>
      <c r="B422" s="32" t="s">
        <v>864</v>
      </c>
      <c r="C422" s="31">
        <v>1274</v>
      </c>
      <c r="D422" s="32">
        <v>2</v>
      </c>
      <c r="E422" s="15">
        <f>INDEX(monster!$H$2:$H$617,MATCH(skill!C422,monster!$A$2:$A$617,0))</f>
        <v>59.87</v>
      </c>
      <c r="F422" s="15">
        <f>INDEX(monster!$I$2:$I$617,MATCH(C422,monster!$A$2:$A$617,0))</f>
        <v>1.8</v>
      </c>
      <c r="G422" s="15" t="b">
        <f t="shared" si="25"/>
        <v>1</v>
      </c>
      <c r="H422" s="31">
        <v>1</v>
      </c>
      <c r="I422" s="15">
        <f>IF(H422&gt;0,HLOOKUP(R422/100,数值规划表!$B$37:$AA$39,3),1)</f>
        <v>1.296</v>
      </c>
      <c r="J422" s="31" t="s">
        <v>1625</v>
      </c>
      <c r="K422" s="15">
        <f>INDEX(数值规划表!$B$15:$B$18,MATCH(J422,攻击范围,0))</f>
        <v>1</v>
      </c>
      <c r="L422" s="30">
        <v>1</v>
      </c>
      <c r="M422" s="41">
        <v>0</v>
      </c>
      <c r="N422" s="15">
        <f t="shared" si="23"/>
        <v>78</v>
      </c>
      <c r="O422" s="15">
        <f t="shared" si="24"/>
        <v>2.33</v>
      </c>
      <c r="P422" s="15">
        <f>IF(G422,INDEX(monster!$J$2:$J$606,MATCH(skill!C422,monster!$A$2:$A$606,0)),Q422)</f>
        <v>1.2</v>
      </c>
      <c r="Q422" s="70"/>
      <c r="R422" s="33">
        <v>120</v>
      </c>
    </row>
    <row r="423" spans="1:18" s="38" customFormat="1" x14ac:dyDescent="0.15">
      <c r="A423" s="32">
        <v>10455</v>
      </c>
      <c r="B423" s="32" t="s">
        <v>865</v>
      </c>
      <c r="C423" s="31">
        <v>1275</v>
      </c>
      <c r="D423" s="32">
        <v>3</v>
      </c>
      <c r="E423" s="15">
        <f>INDEX(monster!$H$2:$H$617,MATCH(skill!C423,monster!$A$2:$A$617,0))</f>
        <v>67.06</v>
      </c>
      <c r="F423" s="15">
        <f>INDEX(monster!$I$2:$I$617,MATCH(C423,monster!$A$2:$A$617,0))</f>
        <v>2.0099999999999998</v>
      </c>
      <c r="G423" s="15" t="b">
        <f t="shared" si="25"/>
        <v>1</v>
      </c>
      <c r="H423" s="31">
        <v>1</v>
      </c>
      <c r="I423" s="15">
        <f>IF(H423&gt;0,HLOOKUP(R423/100,数值规划表!$B$37:$AA$39,3),1)</f>
        <v>1.296</v>
      </c>
      <c r="J423" s="31" t="s">
        <v>1625</v>
      </c>
      <c r="K423" s="15">
        <f>INDEX(数值规划表!$B$15:$B$18,MATCH(J423,攻击范围,0))</f>
        <v>1</v>
      </c>
      <c r="L423" s="30">
        <v>1</v>
      </c>
      <c r="M423" s="41">
        <v>0</v>
      </c>
      <c r="N423" s="15">
        <f t="shared" si="23"/>
        <v>87</v>
      </c>
      <c r="O423" s="15">
        <f t="shared" si="24"/>
        <v>2.6</v>
      </c>
      <c r="P423" s="15">
        <f>IF(G423,INDEX(monster!$J$2:$J$606,MATCH(skill!C423,monster!$A$2:$A$606,0)),Q423)</f>
        <v>1.2</v>
      </c>
      <c r="Q423" s="70"/>
      <c r="R423" s="33">
        <v>120</v>
      </c>
    </row>
    <row r="424" spans="1:18" s="38" customFormat="1" x14ac:dyDescent="0.15">
      <c r="A424" s="32">
        <v>10456</v>
      </c>
      <c r="B424" s="32" t="s">
        <v>866</v>
      </c>
      <c r="C424" s="31">
        <v>1276</v>
      </c>
      <c r="D424" s="32">
        <v>4</v>
      </c>
      <c r="E424" s="15">
        <f>INDEX(monster!$H$2:$H$617,MATCH(skill!C424,monster!$A$2:$A$617,0))</f>
        <v>75.099999999999994</v>
      </c>
      <c r="F424" s="15">
        <f>INDEX(monster!$I$2:$I$617,MATCH(C424,monster!$A$2:$A$617,0))</f>
        <v>2.25</v>
      </c>
      <c r="G424" s="15" t="b">
        <f t="shared" si="25"/>
        <v>1</v>
      </c>
      <c r="H424" s="31">
        <v>1</v>
      </c>
      <c r="I424" s="15">
        <f>IF(H424&gt;0,HLOOKUP(R424/100,数值规划表!$B$37:$AA$39,3),1)</f>
        <v>1.296</v>
      </c>
      <c r="J424" s="31" t="s">
        <v>1625</v>
      </c>
      <c r="K424" s="15">
        <f>INDEX(数值规划表!$B$15:$B$18,MATCH(J424,攻击范围,0))</f>
        <v>1</v>
      </c>
      <c r="L424" s="30">
        <v>1</v>
      </c>
      <c r="M424" s="41">
        <v>0</v>
      </c>
      <c r="N424" s="15">
        <f t="shared" si="23"/>
        <v>97</v>
      </c>
      <c r="O424" s="15">
        <f t="shared" si="24"/>
        <v>2.92</v>
      </c>
      <c r="P424" s="15">
        <f>IF(G424,INDEX(monster!$J$2:$J$606,MATCH(skill!C424,monster!$A$2:$A$606,0)),Q424)</f>
        <v>1.2</v>
      </c>
      <c r="Q424" s="70"/>
      <c r="R424" s="33">
        <v>120</v>
      </c>
    </row>
    <row r="425" spans="1:18" s="38" customFormat="1" x14ac:dyDescent="0.15">
      <c r="A425" s="32">
        <v>10457</v>
      </c>
      <c r="B425" s="32" t="s">
        <v>867</v>
      </c>
      <c r="C425" s="31">
        <v>1277</v>
      </c>
      <c r="D425" s="32">
        <v>5</v>
      </c>
      <c r="E425" s="15">
        <f>INDEX(monster!$H$2:$H$617,MATCH(skill!C425,monster!$A$2:$A$617,0))</f>
        <v>84.12</v>
      </c>
      <c r="F425" s="15">
        <f>INDEX(monster!$I$2:$I$617,MATCH(C425,monster!$A$2:$A$617,0))</f>
        <v>2.52</v>
      </c>
      <c r="G425" s="15" t="b">
        <f t="shared" si="25"/>
        <v>1</v>
      </c>
      <c r="H425" s="31">
        <v>1</v>
      </c>
      <c r="I425" s="15">
        <f>IF(H425&gt;0,HLOOKUP(R425/100,数值规划表!$B$37:$AA$39,3),1)</f>
        <v>1.296</v>
      </c>
      <c r="J425" s="31" t="s">
        <v>1625</v>
      </c>
      <c r="K425" s="15">
        <f>INDEX(数值规划表!$B$15:$B$18,MATCH(J425,攻击范围,0))</f>
        <v>1</v>
      </c>
      <c r="L425" s="30">
        <v>1</v>
      </c>
      <c r="M425" s="41">
        <v>0</v>
      </c>
      <c r="N425" s="15">
        <f t="shared" si="23"/>
        <v>109</v>
      </c>
      <c r="O425" s="15">
        <f t="shared" si="24"/>
        <v>3.27</v>
      </c>
      <c r="P425" s="15">
        <f>IF(G425,INDEX(monster!$J$2:$J$606,MATCH(skill!C425,monster!$A$2:$A$606,0)),Q425)</f>
        <v>1.2</v>
      </c>
      <c r="Q425" s="70"/>
      <c r="R425" s="33">
        <v>120</v>
      </c>
    </row>
    <row r="426" spans="1:18" s="38" customFormat="1" x14ac:dyDescent="0.15">
      <c r="A426" s="32">
        <v>10458</v>
      </c>
      <c r="B426" s="32" t="s">
        <v>868</v>
      </c>
      <c r="C426" s="31">
        <v>1278</v>
      </c>
      <c r="D426" s="32">
        <v>6</v>
      </c>
      <c r="E426" s="15">
        <f>INDEX(monster!$H$2:$H$617,MATCH(skill!C426,monster!$A$2:$A$617,0))</f>
        <v>94.21</v>
      </c>
      <c r="F426" s="15">
        <f>INDEX(monster!$I$2:$I$617,MATCH(C426,monster!$A$2:$A$617,0))</f>
        <v>2.83</v>
      </c>
      <c r="G426" s="15" t="b">
        <f t="shared" si="25"/>
        <v>1</v>
      </c>
      <c r="H426" s="31">
        <v>1</v>
      </c>
      <c r="I426" s="15">
        <f>IF(H426&gt;0,HLOOKUP(R426/100,数值规划表!$B$37:$AA$39,3),1)</f>
        <v>1.296</v>
      </c>
      <c r="J426" s="31" t="s">
        <v>1625</v>
      </c>
      <c r="K426" s="15">
        <f>INDEX(数值规划表!$B$15:$B$18,MATCH(J426,攻击范围,0))</f>
        <v>1</v>
      </c>
      <c r="L426" s="30">
        <v>1</v>
      </c>
      <c r="M426" s="41">
        <v>0</v>
      </c>
      <c r="N426" s="15">
        <f t="shared" si="23"/>
        <v>122</v>
      </c>
      <c r="O426" s="15">
        <f t="shared" si="24"/>
        <v>3.67</v>
      </c>
      <c r="P426" s="15">
        <f>IF(G426,INDEX(monster!$J$2:$J$606,MATCH(skill!C426,monster!$A$2:$A$606,0)),Q426)</f>
        <v>1.2</v>
      </c>
      <c r="Q426" s="70"/>
      <c r="R426" s="33">
        <v>120</v>
      </c>
    </row>
    <row r="427" spans="1:18" s="38" customFormat="1" x14ac:dyDescent="0.15">
      <c r="A427" s="32">
        <v>10459</v>
      </c>
      <c r="B427" s="32" t="s">
        <v>869</v>
      </c>
      <c r="C427" s="31">
        <v>1279</v>
      </c>
      <c r="D427" s="32">
        <v>7</v>
      </c>
      <c r="E427" s="15">
        <f>INDEX(monster!$H$2:$H$617,MATCH(skill!C427,monster!$A$2:$A$617,0))</f>
        <v>105.52</v>
      </c>
      <c r="F427" s="15">
        <f>INDEX(monster!$I$2:$I$617,MATCH(C427,monster!$A$2:$A$617,0))</f>
        <v>3.17</v>
      </c>
      <c r="G427" s="15" t="b">
        <f t="shared" si="25"/>
        <v>1</v>
      </c>
      <c r="H427" s="31">
        <v>1</v>
      </c>
      <c r="I427" s="15">
        <f>IF(H427&gt;0,HLOOKUP(R427/100,数值规划表!$B$37:$AA$39,3),1)</f>
        <v>1.296</v>
      </c>
      <c r="J427" s="31" t="s">
        <v>1625</v>
      </c>
      <c r="K427" s="15">
        <f>INDEX(数值规划表!$B$15:$B$18,MATCH(J427,攻击范围,0))</f>
        <v>1</v>
      </c>
      <c r="L427" s="30">
        <v>1</v>
      </c>
      <c r="M427" s="41">
        <v>0</v>
      </c>
      <c r="N427" s="15">
        <f t="shared" si="23"/>
        <v>137</v>
      </c>
      <c r="O427" s="15">
        <f t="shared" si="24"/>
        <v>4.1100000000000003</v>
      </c>
      <c r="P427" s="15">
        <f>IF(G427,INDEX(monster!$J$2:$J$606,MATCH(skill!C427,monster!$A$2:$A$606,0)),Q427)</f>
        <v>1.2</v>
      </c>
      <c r="Q427" s="70"/>
      <c r="R427" s="33">
        <v>120</v>
      </c>
    </row>
    <row r="428" spans="1:18" s="38" customFormat="1" x14ac:dyDescent="0.15">
      <c r="A428" s="32">
        <v>10460</v>
      </c>
      <c r="B428" s="32" t="s">
        <v>870</v>
      </c>
      <c r="C428" s="31">
        <v>1280</v>
      </c>
      <c r="D428" s="32">
        <v>8</v>
      </c>
      <c r="E428" s="15">
        <f>INDEX(monster!$H$2:$H$617,MATCH(skill!C428,monster!$A$2:$A$617,0))</f>
        <v>118.18</v>
      </c>
      <c r="F428" s="15">
        <f>INDEX(monster!$I$2:$I$617,MATCH(C428,monster!$A$2:$A$617,0))</f>
        <v>3.55</v>
      </c>
      <c r="G428" s="15" t="b">
        <f t="shared" si="25"/>
        <v>1</v>
      </c>
      <c r="H428" s="31">
        <v>1</v>
      </c>
      <c r="I428" s="15">
        <f>IF(H428&gt;0,HLOOKUP(R428/100,数值规划表!$B$37:$AA$39,3),1)</f>
        <v>1.296</v>
      </c>
      <c r="J428" s="31" t="s">
        <v>1625</v>
      </c>
      <c r="K428" s="15">
        <f>INDEX(数值规划表!$B$15:$B$18,MATCH(J428,攻击范围,0))</f>
        <v>1</v>
      </c>
      <c r="L428" s="30">
        <v>1</v>
      </c>
      <c r="M428" s="41">
        <v>0</v>
      </c>
      <c r="N428" s="15">
        <f t="shared" si="23"/>
        <v>153</v>
      </c>
      <c r="O428" s="15">
        <f t="shared" si="24"/>
        <v>4.5999999999999996</v>
      </c>
      <c r="P428" s="15">
        <f>IF(G428,INDEX(monster!$J$2:$J$606,MATCH(skill!C428,monster!$A$2:$A$606,0)),Q428)</f>
        <v>1.2</v>
      </c>
      <c r="Q428" s="70"/>
      <c r="R428" s="33">
        <v>120</v>
      </c>
    </row>
    <row r="429" spans="1:18" s="38" customFormat="1" x14ac:dyDescent="0.15">
      <c r="A429" s="32">
        <v>10461</v>
      </c>
      <c r="B429" s="32" t="s">
        <v>871</v>
      </c>
      <c r="C429" s="31">
        <v>1281</v>
      </c>
      <c r="D429" s="32">
        <v>9</v>
      </c>
      <c r="E429" s="15">
        <f>INDEX(monster!$H$2:$H$617,MATCH(skill!C429,monster!$A$2:$A$617,0))</f>
        <v>132.36000000000001</v>
      </c>
      <c r="F429" s="15">
        <f>INDEX(monster!$I$2:$I$617,MATCH(C429,monster!$A$2:$A$617,0))</f>
        <v>3.97</v>
      </c>
      <c r="G429" s="15" t="b">
        <f t="shared" si="25"/>
        <v>1</v>
      </c>
      <c r="H429" s="31">
        <v>1</v>
      </c>
      <c r="I429" s="15">
        <f>IF(H429&gt;0,HLOOKUP(R429/100,数值规划表!$B$37:$AA$39,3),1)</f>
        <v>1.296</v>
      </c>
      <c r="J429" s="31" t="s">
        <v>1625</v>
      </c>
      <c r="K429" s="15">
        <f>INDEX(数值规划表!$B$15:$B$18,MATCH(J429,攻击范围,0))</f>
        <v>1</v>
      </c>
      <c r="L429" s="30">
        <v>1</v>
      </c>
      <c r="M429" s="41">
        <v>0</v>
      </c>
      <c r="N429" s="15">
        <f t="shared" si="23"/>
        <v>172</v>
      </c>
      <c r="O429" s="15">
        <f t="shared" si="24"/>
        <v>5.15</v>
      </c>
      <c r="P429" s="15">
        <f>IF(G429,INDEX(monster!$J$2:$J$606,MATCH(skill!C429,monster!$A$2:$A$606,0)),Q429)</f>
        <v>1.2</v>
      </c>
      <c r="Q429" s="70"/>
      <c r="R429" s="33">
        <v>120</v>
      </c>
    </row>
    <row r="430" spans="1:18" s="38" customFormat="1" x14ac:dyDescent="0.15">
      <c r="A430" s="32">
        <v>10462</v>
      </c>
      <c r="B430" s="32" t="s">
        <v>872</v>
      </c>
      <c r="C430" s="31">
        <v>1282</v>
      </c>
      <c r="D430" s="32">
        <v>10</v>
      </c>
      <c r="E430" s="15">
        <f>INDEX(monster!$H$2:$H$617,MATCH(skill!C430,monster!$A$2:$A$617,0))</f>
        <v>148.24</v>
      </c>
      <c r="F430" s="15">
        <f>INDEX(monster!$I$2:$I$617,MATCH(C430,monster!$A$2:$A$617,0))</f>
        <v>4.45</v>
      </c>
      <c r="G430" s="15" t="b">
        <f t="shared" si="25"/>
        <v>1</v>
      </c>
      <c r="H430" s="31">
        <v>1</v>
      </c>
      <c r="I430" s="15">
        <f>IF(H430&gt;0,HLOOKUP(R430/100,数值规划表!$B$37:$AA$39,3),1)</f>
        <v>1.296</v>
      </c>
      <c r="J430" s="31" t="s">
        <v>1625</v>
      </c>
      <c r="K430" s="15">
        <f>INDEX(数值规划表!$B$15:$B$18,MATCH(J430,攻击范围,0))</f>
        <v>1</v>
      </c>
      <c r="L430" s="30">
        <v>1</v>
      </c>
      <c r="M430" s="41">
        <v>0</v>
      </c>
      <c r="N430" s="15">
        <f t="shared" si="23"/>
        <v>192</v>
      </c>
      <c r="O430" s="15">
        <f t="shared" si="24"/>
        <v>5.77</v>
      </c>
      <c r="P430" s="15">
        <f>IF(G430,INDEX(monster!$J$2:$J$606,MATCH(skill!C430,monster!$A$2:$A$606,0)),Q430)</f>
        <v>1.2</v>
      </c>
      <c r="Q430" s="70"/>
      <c r="R430" s="33">
        <v>120</v>
      </c>
    </row>
    <row r="431" spans="1:18" s="38" customFormat="1" x14ac:dyDescent="0.15">
      <c r="A431" s="32">
        <v>10463</v>
      </c>
      <c r="B431" s="32" t="s">
        <v>1497</v>
      </c>
      <c r="C431" s="31">
        <v>1283</v>
      </c>
      <c r="D431" s="32">
        <v>0</v>
      </c>
      <c r="E431" s="15">
        <f>INDEX(monster!$H$2:$H$617,MATCH(skill!C431,monster!$A$2:$A$617,0))</f>
        <v>121.31</v>
      </c>
      <c r="F431" s="15">
        <f>INDEX(monster!$I$2:$I$617,MATCH(C431,monster!$A$2:$A$617,0))</f>
        <v>3.64</v>
      </c>
      <c r="G431" s="15" t="b">
        <f t="shared" si="25"/>
        <v>0</v>
      </c>
      <c r="H431" s="31">
        <v>0</v>
      </c>
      <c r="I431" s="15">
        <f>IF(H431&gt;0,HLOOKUP(R431/100,数值规划表!$B$37:$AA$39,3),1)</f>
        <v>1</v>
      </c>
      <c r="J431" s="31" t="s">
        <v>1672</v>
      </c>
      <c r="K431" s="15">
        <f>INDEX(数值规划表!$B$15:$B$18,MATCH(J431,攻击范围,0))</f>
        <v>0</v>
      </c>
      <c r="L431" s="30">
        <v>1</v>
      </c>
      <c r="M431" s="41">
        <v>0</v>
      </c>
      <c r="N431" s="15">
        <f t="shared" si="23"/>
        <v>0</v>
      </c>
      <c r="O431" s="15">
        <f t="shared" si="24"/>
        <v>0</v>
      </c>
      <c r="P431" s="15">
        <f>IF(G431,INDEX(monster!$J$2:$J$606,MATCH(skill!C431,monster!$A$2:$A$606,0)),Q431)</f>
        <v>0.5</v>
      </c>
      <c r="Q431" s="70">
        <v>0.5</v>
      </c>
      <c r="R431" s="33">
        <v>100</v>
      </c>
    </row>
    <row r="432" spans="1:18" s="38" customFormat="1" x14ac:dyDescent="0.15">
      <c r="A432" s="32">
        <v>10464</v>
      </c>
      <c r="B432" s="32" t="s">
        <v>1498</v>
      </c>
      <c r="C432" s="31">
        <v>1284</v>
      </c>
      <c r="D432" s="32">
        <v>1</v>
      </c>
      <c r="E432" s="15">
        <f>INDEX(monster!$H$2:$H$617,MATCH(skill!C432,monster!$A$2:$A$617,0))</f>
        <v>135.87</v>
      </c>
      <c r="F432" s="15">
        <f>INDEX(monster!$I$2:$I$617,MATCH(C432,monster!$A$2:$A$617,0))</f>
        <v>4.08</v>
      </c>
      <c r="G432" s="15" t="b">
        <f t="shared" si="25"/>
        <v>0</v>
      </c>
      <c r="H432" s="31">
        <v>0</v>
      </c>
      <c r="I432" s="15">
        <f>IF(H432&gt;0,HLOOKUP(R432/100,数值规划表!$B$37:$AA$39,3),1)</f>
        <v>1</v>
      </c>
      <c r="J432" s="31" t="s">
        <v>1672</v>
      </c>
      <c r="K432" s="15">
        <f>INDEX(数值规划表!$B$15:$B$18,MATCH(J432,攻击范围,0))</f>
        <v>0</v>
      </c>
      <c r="L432" s="30">
        <v>1</v>
      </c>
      <c r="M432" s="41">
        <v>0</v>
      </c>
      <c r="N432" s="15">
        <f t="shared" si="23"/>
        <v>0</v>
      </c>
      <c r="O432" s="15">
        <f t="shared" si="24"/>
        <v>0</v>
      </c>
      <c r="P432" s="15">
        <f>IF(G432,INDEX(monster!$J$2:$J$606,MATCH(skill!C432,monster!$A$2:$A$606,0)),Q432)</f>
        <v>0.5</v>
      </c>
      <c r="Q432" s="70">
        <v>0.5</v>
      </c>
      <c r="R432" s="33">
        <v>100</v>
      </c>
    </row>
    <row r="433" spans="1:18" s="38" customFormat="1" x14ac:dyDescent="0.15">
      <c r="A433" s="32">
        <v>10465</v>
      </c>
      <c r="B433" s="32" t="s">
        <v>873</v>
      </c>
      <c r="C433" s="31">
        <v>1285</v>
      </c>
      <c r="D433" s="32">
        <v>2</v>
      </c>
      <c r="E433" s="15">
        <f>INDEX(monster!$H$2:$H$617,MATCH(skill!C433,monster!$A$2:$A$617,0))</f>
        <v>152.16999999999999</v>
      </c>
      <c r="F433" s="15">
        <f>INDEX(monster!$I$2:$I$617,MATCH(C433,monster!$A$2:$A$617,0))</f>
        <v>4.57</v>
      </c>
      <c r="G433" s="15" t="b">
        <f t="shared" si="25"/>
        <v>0</v>
      </c>
      <c r="H433" s="31">
        <v>0</v>
      </c>
      <c r="I433" s="15">
        <f>IF(H433&gt;0,HLOOKUP(R433/100,数值规划表!$B$37:$AA$39,3),1)</f>
        <v>1</v>
      </c>
      <c r="J433" s="31" t="s">
        <v>1672</v>
      </c>
      <c r="K433" s="15">
        <f>INDEX(数值规划表!$B$15:$B$18,MATCH(J433,攻击范围,0))</f>
        <v>0</v>
      </c>
      <c r="L433" s="30">
        <v>1</v>
      </c>
      <c r="M433" s="41">
        <v>0</v>
      </c>
      <c r="N433" s="15">
        <f t="shared" si="23"/>
        <v>0</v>
      </c>
      <c r="O433" s="15">
        <f t="shared" si="24"/>
        <v>0</v>
      </c>
      <c r="P433" s="15">
        <f>IF(G433,INDEX(monster!$J$2:$J$606,MATCH(skill!C433,monster!$A$2:$A$606,0)),Q433)</f>
        <v>0.5</v>
      </c>
      <c r="Q433" s="70">
        <v>0.5</v>
      </c>
      <c r="R433" s="33">
        <v>100</v>
      </c>
    </row>
    <row r="434" spans="1:18" s="38" customFormat="1" x14ac:dyDescent="0.15">
      <c r="A434" s="32">
        <v>10466</v>
      </c>
      <c r="B434" s="32" t="s">
        <v>874</v>
      </c>
      <c r="C434" s="31">
        <v>1286</v>
      </c>
      <c r="D434" s="32">
        <v>3</v>
      </c>
      <c r="E434" s="15">
        <f>INDEX(monster!$H$2:$H$617,MATCH(skill!C434,monster!$A$2:$A$617,0))</f>
        <v>170.43</v>
      </c>
      <c r="F434" s="15">
        <f>INDEX(monster!$I$2:$I$617,MATCH(C434,monster!$A$2:$A$617,0))</f>
        <v>5.1100000000000003</v>
      </c>
      <c r="G434" s="15" t="b">
        <f t="shared" si="25"/>
        <v>0</v>
      </c>
      <c r="H434" s="31">
        <v>0</v>
      </c>
      <c r="I434" s="15">
        <f>IF(H434&gt;0,HLOOKUP(R434/100,数值规划表!$B$37:$AA$39,3),1)</f>
        <v>1</v>
      </c>
      <c r="J434" s="31" t="s">
        <v>1672</v>
      </c>
      <c r="K434" s="15">
        <f>INDEX(数值规划表!$B$15:$B$18,MATCH(J434,攻击范围,0))</f>
        <v>0</v>
      </c>
      <c r="L434" s="30">
        <v>1</v>
      </c>
      <c r="M434" s="41">
        <v>0</v>
      </c>
      <c r="N434" s="15">
        <f t="shared" si="23"/>
        <v>0</v>
      </c>
      <c r="O434" s="15">
        <f t="shared" si="24"/>
        <v>0</v>
      </c>
      <c r="P434" s="15">
        <f>IF(G434,INDEX(monster!$J$2:$J$606,MATCH(skill!C434,monster!$A$2:$A$606,0)),Q434)</f>
        <v>0.5</v>
      </c>
      <c r="Q434" s="70">
        <v>0.5</v>
      </c>
      <c r="R434" s="33">
        <v>100</v>
      </c>
    </row>
    <row r="435" spans="1:18" s="38" customFormat="1" x14ac:dyDescent="0.15">
      <c r="A435" s="32">
        <v>10467</v>
      </c>
      <c r="B435" s="32" t="s">
        <v>875</v>
      </c>
      <c r="C435" s="31">
        <v>1287</v>
      </c>
      <c r="D435" s="32">
        <v>4</v>
      </c>
      <c r="E435" s="15">
        <f>INDEX(monster!$H$2:$H$617,MATCH(skill!C435,monster!$A$2:$A$617,0))</f>
        <v>190.88</v>
      </c>
      <c r="F435" s="15">
        <f>INDEX(monster!$I$2:$I$617,MATCH(C435,monster!$A$2:$A$617,0))</f>
        <v>5.73</v>
      </c>
      <c r="G435" s="15" t="b">
        <f t="shared" si="25"/>
        <v>0</v>
      </c>
      <c r="H435" s="31">
        <v>0</v>
      </c>
      <c r="I435" s="15">
        <f>IF(H435&gt;0,HLOOKUP(R435/100,数值规划表!$B$37:$AA$39,3),1)</f>
        <v>1</v>
      </c>
      <c r="J435" s="31" t="s">
        <v>1672</v>
      </c>
      <c r="K435" s="15">
        <f>INDEX(数值规划表!$B$15:$B$18,MATCH(J435,攻击范围,0))</f>
        <v>0</v>
      </c>
      <c r="L435" s="30">
        <v>1</v>
      </c>
      <c r="M435" s="41">
        <v>0</v>
      </c>
      <c r="N435" s="15">
        <f t="shared" si="23"/>
        <v>0</v>
      </c>
      <c r="O435" s="15">
        <f t="shared" si="24"/>
        <v>0</v>
      </c>
      <c r="P435" s="15">
        <f>IF(G435,INDEX(monster!$J$2:$J$606,MATCH(skill!C435,monster!$A$2:$A$606,0)),Q435)</f>
        <v>0.5</v>
      </c>
      <c r="Q435" s="70">
        <v>0.5</v>
      </c>
      <c r="R435" s="33">
        <v>100</v>
      </c>
    </row>
    <row r="436" spans="1:18" s="38" customFormat="1" x14ac:dyDescent="0.15">
      <c r="A436" s="32">
        <v>10468</v>
      </c>
      <c r="B436" s="32" t="s">
        <v>876</v>
      </c>
      <c r="C436" s="31">
        <v>1288</v>
      </c>
      <c r="D436" s="32">
        <v>5</v>
      </c>
      <c r="E436" s="15">
        <f>INDEX(monster!$H$2:$H$617,MATCH(skill!C436,monster!$A$2:$A$617,0))</f>
        <v>213.79</v>
      </c>
      <c r="F436" s="15">
        <f>INDEX(monster!$I$2:$I$617,MATCH(C436,monster!$A$2:$A$617,0))</f>
        <v>6.41</v>
      </c>
      <c r="G436" s="15" t="b">
        <f t="shared" si="25"/>
        <v>0</v>
      </c>
      <c r="H436" s="31">
        <v>0</v>
      </c>
      <c r="I436" s="15">
        <f>IF(H436&gt;0,HLOOKUP(R436/100,数值规划表!$B$37:$AA$39,3),1)</f>
        <v>1</v>
      </c>
      <c r="J436" s="31" t="s">
        <v>1672</v>
      </c>
      <c r="K436" s="15">
        <f>INDEX(数值规划表!$B$15:$B$18,MATCH(J436,攻击范围,0))</f>
        <v>0</v>
      </c>
      <c r="L436" s="30">
        <v>1</v>
      </c>
      <c r="M436" s="41">
        <v>0</v>
      </c>
      <c r="N436" s="15">
        <f t="shared" si="23"/>
        <v>0</v>
      </c>
      <c r="O436" s="15">
        <f t="shared" si="24"/>
        <v>0</v>
      </c>
      <c r="P436" s="15">
        <f>IF(G436,INDEX(monster!$J$2:$J$606,MATCH(skill!C436,monster!$A$2:$A$606,0)),Q436)</f>
        <v>0.5</v>
      </c>
      <c r="Q436" s="70">
        <v>0.5</v>
      </c>
      <c r="R436" s="33">
        <v>100</v>
      </c>
    </row>
    <row r="437" spans="1:18" s="38" customFormat="1" x14ac:dyDescent="0.15">
      <c r="A437" s="32">
        <v>10469</v>
      </c>
      <c r="B437" s="32" t="s">
        <v>877</v>
      </c>
      <c r="C437" s="31">
        <v>1289</v>
      </c>
      <c r="D437" s="32">
        <v>6</v>
      </c>
      <c r="E437" s="15">
        <f>INDEX(monster!$H$2:$H$617,MATCH(skill!C437,monster!$A$2:$A$617,0))</f>
        <v>239.44</v>
      </c>
      <c r="F437" s="15">
        <f>INDEX(monster!$I$2:$I$617,MATCH(C437,monster!$A$2:$A$617,0))</f>
        <v>7.18</v>
      </c>
      <c r="G437" s="15" t="b">
        <f t="shared" si="25"/>
        <v>0</v>
      </c>
      <c r="H437" s="31">
        <v>0</v>
      </c>
      <c r="I437" s="15">
        <f>IF(H437&gt;0,HLOOKUP(R437/100,数值规划表!$B$37:$AA$39,3),1)</f>
        <v>1</v>
      </c>
      <c r="J437" s="31" t="s">
        <v>1672</v>
      </c>
      <c r="K437" s="15">
        <f>INDEX(数值规划表!$B$15:$B$18,MATCH(J437,攻击范围,0))</f>
        <v>0</v>
      </c>
      <c r="L437" s="30">
        <v>1</v>
      </c>
      <c r="M437" s="41">
        <v>0</v>
      </c>
      <c r="N437" s="15">
        <f t="shared" si="23"/>
        <v>0</v>
      </c>
      <c r="O437" s="15">
        <f t="shared" si="24"/>
        <v>0</v>
      </c>
      <c r="P437" s="15">
        <f>IF(G437,INDEX(monster!$J$2:$J$606,MATCH(skill!C437,monster!$A$2:$A$606,0)),Q437)</f>
        <v>0.5</v>
      </c>
      <c r="Q437" s="70">
        <v>0.5</v>
      </c>
      <c r="R437" s="33">
        <v>100</v>
      </c>
    </row>
    <row r="438" spans="1:18" s="38" customFormat="1" x14ac:dyDescent="0.15">
      <c r="A438" s="32">
        <v>10470</v>
      </c>
      <c r="B438" s="32" t="s">
        <v>878</v>
      </c>
      <c r="C438" s="31">
        <v>1290</v>
      </c>
      <c r="D438" s="32">
        <v>7</v>
      </c>
      <c r="E438" s="15">
        <f>INDEX(monster!$H$2:$H$617,MATCH(skill!C438,monster!$A$2:$A$617,0))</f>
        <v>268.18</v>
      </c>
      <c r="F438" s="15">
        <f>INDEX(monster!$I$2:$I$617,MATCH(C438,monster!$A$2:$A$617,0))</f>
        <v>8.0500000000000007</v>
      </c>
      <c r="G438" s="15" t="b">
        <f t="shared" si="25"/>
        <v>0</v>
      </c>
      <c r="H438" s="31">
        <v>0</v>
      </c>
      <c r="I438" s="15">
        <f>IF(H438&gt;0,HLOOKUP(R438/100,数值规划表!$B$37:$AA$39,3),1)</f>
        <v>1</v>
      </c>
      <c r="J438" s="31" t="s">
        <v>1672</v>
      </c>
      <c r="K438" s="15">
        <f>INDEX(数值规划表!$B$15:$B$18,MATCH(J438,攻击范围,0))</f>
        <v>0</v>
      </c>
      <c r="L438" s="30">
        <v>1</v>
      </c>
      <c r="M438" s="41">
        <v>0</v>
      </c>
      <c r="N438" s="15">
        <f t="shared" si="23"/>
        <v>0</v>
      </c>
      <c r="O438" s="15">
        <f t="shared" si="24"/>
        <v>0</v>
      </c>
      <c r="P438" s="15">
        <f>IF(G438,INDEX(monster!$J$2:$J$606,MATCH(skill!C438,monster!$A$2:$A$606,0)),Q438)</f>
        <v>0.5</v>
      </c>
      <c r="Q438" s="70">
        <v>0.5</v>
      </c>
      <c r="R438" s="33">
        <v>100</v>
      </c>
    </row>
    <row r="439" spans="1:18" s="38" customFormat="1" x14ac:dyDescent="0.15">
      <c r="A439" s="32">
        <v>10471</v>
      </c>
      <c r="B439" s="32" t="s">
        <v>879</v>
      </c>
      <c r="C439" s="31">
        <v>1291</v>
      </c>
      <c r="D439" s="32">
        <v>8</v>
      </c>
      <c r="E439" s="15">
        <f>INDEX(monster!$H$2:$H$617,MATCH(skill!C439,monster!$A$2:$A$617,0))</f>
        <v>300.36</v>
      </c>
      <c r="F439" s="15">
        <f>INDEX(monster!$I$2:$I$617,MATCH(C439,monster!$A$2:$A$617,0))</f>
        <v>9.01</v>
      </c>
      <c r="G439" s="15" t="b">
        <f t="shared" si="25"/>
        <v>0</v>
      </c>
      <c r="H439" s="31">
        <v>0</v>
      </c>
      <c r="I439" s="15">
        <f>IF(H439&gt;0,HLOOKUP(R439/100,数值规划表!$B$37:$AA$39,3),1)</f>
        <v>1</v>
      </c>
      <c r="J439" s="31" t="s">
        <v>1672</v>
      </c>
      <c r="K439" s="15">
        <f>INDEX(数值规划表!$B$15:$B$18,MATCH(J439,攻击范围,0))</f>
        <v>0</v>
      </c>
      <c r="L439" s="30">
        <v>1</v>
      </c>
      <c r="M439" s="41">
        <v>0</v>
      </c>
      <c r="N439" s="15">
        <f t="shared" ref="N439:N502" si="26">ROUND(E439*I439*K439*L439,0)</f>
        <v>0</v>
      </c>
      <c r="O439" s="15">
        <f t="shared" ref="O439:O502" si="27">ROUND(F439*I439*K439*L439,2)</f>
        <v>0</v>
      </c>
      <c r="P439" s="15">
        <f>IF(G439,INDEX(monster!$J$2:$J$606,MATCH(skill!C439,monster!$A$2:$A$606,0)),Q439)</f>
        <v>0.5</v>
      </c>
      <c r="Q439" s="70">
        <v>0.5</v>
      </c>
      <c r="R439" s="33">
        <v>100</v>
      </c>
    </row>
    <row r="440" spans="1:18" s="38" customFormat="1" x14ac:dyDescent="0.15">
      <c r="A440" s="32">
        <v>10472</v>
      </c>
      <c r="B440" s="32" t="s">
        <v>880</v>
      </c>
      <c r="C440" s="31">
        <v>1292</v>
      </c>
      <c r="D440" s="32">
        <v>9</v>
      </c>
      <c r="E440" s="15">
        <f>INDEX(monster!$H$2:$H$617,MATCH(skill!C440,monster!$A$2:$A$617,0))</f>
        <v>336.4</v>
      </c>
      <c r="F440" s="15">
        <f>INDEX(monster!$I$2:$I$617,MATCH(C440,monster!$A$2:$A$617,0))</f>
        <v>10.09</v>
      </c>
      <c r="G440" s="15" t="b">
        <f t="shared" si="25"/>
        <v>0</v>
      </c>
      <c r="H440" s="31">
        <v>0</v>
      </c>
      <c r="I440" s="15">
        <f>IF(H440&gt;0,HLOOKUP(R440/100,数值规划表!$B$37:$AA$39,3),1)</f>
        <v>1</v>
      </c>
      <c r="J440" s="31" t="s">
        <v>1672</v>
      </c>
      <c r="K440" s="15">
        <f>INDEX(数值规划表!$B$15:$B$18,MATCH(J440,攻击范围,0))</f>
        <v>0</v>
      </c>
      <c r="L440" s="30">
        <v>1</v>
      </c>
      <c r="M440" s="41">
        <v>0</v>
      </c>
      <c r="N440" s="15">
        <f t="shared" si="26"/>
        <v>0</v>
      </c>
      <c r="O440" s="15">
        <f t="shared" si="27"/>
        <v>0</v>
      </c>
      <c r="P440" s="15">
        <f>IF(G440,INDEX(monster!$J$2:$J$606,MATCH(skill!C440,monster!$A$2:$A$606,0)),Q440)</f>
        <v>0.5</v>
      </c>
      <c r="Q440" s="70">
        <v>0.5</v>
      </c>
      <c r="R440" s="33">
        <v>100</v>
      </c>
    </row>
    <row r="441" spans="1:18" s="38" customFormat="1" x14ac:dyDescent="0.15">
      <c r="A441" s="32">
        <v>10473</v>
      </c>
      <c r="B441" s="32" t="s">
        <v>881</v>
      </c>
      <c r="C441" s="31">
        <v>1293</v>
      </c>
      <c r="D441" s="32">
        <v>10</v>
      </c>
      <c r="E441" s="15">
        <f>INDEX(monster!$H$2:$H$617,MATCH(skill!C441,monster!$A$2:$A$617,0))</f>
        <v>376.77</v>
      </c>
      <c r="F441" s="15">
        <f>INDEX(monster!$I$2:$I$617,MATCH(C441,monster!$A$2:$A$617,0))</f>
        <v>11.3</v>
      </c>
      <c r="G441" s="15" t="b">
        <f t="shared" si="25"/>
        <v>0</v>
      </c>
      <c r="H441" s="31">
        <v>0</v>
      </c>
      <c r="I441" s="15">
        <f>IF(H441&gt;0,HLOOKUP(R441/100,数值规划表!$B$37:$AA$39,3),1)</f>
        <v>1</v>
      </c>
      <c r="J441" s="31" t="s">
        <v>1672</v>
      </c>
      <c r="K441" s="15">
        <f>INDEX(数值规划表!$B$15:$B$18,MATCH(J441,攻击范围,0))</f>
        <v>0</v>
      </c>
      <c r="L441" s="30">
        <v>1</v>
      </c>
      <c r="M441" s="41">
        <v>0</v>
      </c>
      <c r="N441" s="15">
        <f t="shared" si="26"/>
        <v>0</v>
      </c>
      <c r="O441" s="15">
        <f t="shared" si="27"/>
        <v>0</v>
      </c>
      <c r="P441" s="15">
        <f>IF(G441,INDEX(monster!$J$2:$J$606,MATCH(skill!C441,monster!$A$2:$A$606,0)),Q441)</f>
        <v>0.5</v>
      </c>
      <c r="Q441" s="70">
        <v>0.5</v>
      </c>
      <c r="R441" s="33">
        <v>100</v>
      </c>
    </row>
    <row r="442" spans="1:18" s="38" customFormat="1" x14ac:dyDescent="0.15">
      <c r="A442" s="32">
        <v>10474</v>
      </c>
      <c r="B442" s="32" t="s">
        <v>1499</v>
      </c>
      <c r="C442" s="31">
        <v>1140</v>
      </c>
      <c r="D442" s="32">
        <v>0</v>
      </c>
      <c r="E442" s="15">
        <f>INDEX(monster!$H$2:$H$617,MATCH(skill!C442,monster!$A$2:$A$617,0))</f>
        <v>83.72</v>
      </c>
      <c r="F442" s="15">
        <f>INDEX(monster!$I$2:$I$617,MATCH(C442,monster!$A$2:$A$617,0))</f>
        <v>2.5099999999999998</v>
      </c>
      <c r="G442" s="15" t="b">
        <f t="shared" si="25"/>
        <v>0</v>
      </c>
      <c r="H442" s="31">
        <v>0</v>
      </c>
      <c r="I442" s="15">
        <f>IF(H442&gt;0,HLOOKUP(R442/100,数值规划表!$B$37:$AA$39,3),1)</f>
        <v>1</v>
      </c>
      <c r="J442" s="31" t="s">
        <v>1627</v>
      </c>
      <c r="K442" s="15">
        <f>INDEX(数值规划表!$B$15:$B$18,MATCH(J442,攻击范围,0))</f>
        <v>0.7</v>
      </c>
      <c r="L442" s="30">
        <v>0.8</v>
      </c>
      <c r="M442" s="41">
        <v>0</v>
      </c>
      <c r="N442" s="15">
        <f t="shared" si="26"/>
        <v>47</v>
      </c>
      <c r="O442" s="15">
        <f t="shared" si="27"/>
        <v>1.41</v>
      </c>
      <c r="P442" s="15">
        <f>IF(G442,INDEX(monster!$J$2:$J$606,MATCH(skill!C442,monster!$A$2:$A$606,0)),Q442)</f>
        <v>10</v>
      </c>
      <c r="Q442" s="70">
        <v>10</v>
      </c>
      <c r="R442" s="33">
        <v>20</v>
      </c>
    </row>
    <row r="443" spans="1:18" s="38" customFormat="1" x14ac:dyDescent="0.15">
      <c r="A443" s="32">
        <v>10475</v>
      </c>
      <c r="B443" s="32" t="s">
        <v>1500</v>
      </c>
      <c r="C443" s="31">
        <v>1141</v>
      </c>
      <c r="D443" s="32">
        <v>1</v>
      </c>
      <c r="E443" s="15">
        <f>INDEX(monster!$H$2:$H$617,MATCH(skill!C443,monster!$A$2:$A$617,0))</f>
        <v>93.77</v>
      </c>
      <c r="F443" s="15">
        <f>INDEX(monster!$I$2:$I$617,MATCH(C443,monster!$A$2:$A$617,0))</f>
        <v>2.81</v>
      </c>
      <c r="G443" s="15" t="b">
        <f t="shared" si="25"/>
        <v>0</v>
      </c>
      <c r="H443" s="31">
        <v>0</v>
      </c>
      <c r="I443" s="15">
        <f>IF(H443&gt;0,HLOOKUP(R443/100,数值规划表!$B$37:$AA$39,3),1)</f>
        <v>1</v>
      </c>
      <c r="J443" s="31" t="s">
        <v>1627</v>
      </c>
      <c r="K443" s="15">
        <f>INDEX(数值规划表!$B$15:$B$18,MATCH(J443,攻击范围,0))</f>
        <v>0.7</v>
      </c>
      <c r="L443" s="41">
        <v>0.8</v>
      </c>
      <c r="M443" s="41">
        <v>0</v>
      </c>
      <c r="N443" s="15">
        <f t="shared" si="26"/>
        <v>53</v>
      </c>
      <c r="O443" s="15">
        <f t="shared" si="27"/>
        <v>1.57</v>
      </c>
      <c r="P443" s="15">
        <f>IF(G443,INDEX(monster!$J$2:$J$606,MATCH(skill!C443,monster!$A$2:$A$606,0)),Q443)</f>
        <v>10</v>
      </c>
      <c r="Q443" s="70">
        <v>10</v>
      </c>
      <c r="R443" s="33">
        <v>20</v>
      </c>
    </row>
    <row r="444" spans="1:18" s="38" customFormat="1" x14ac:dyDescent="0.15">
      <c r="A444" s="32">
        <v>10476</v>
      </c>
      <c r="B444" s="32" t="s">
        <v>882</v>
      </c>
      <c r="C444" s="31">
        <v>1142</v>
      </c>
      <c r="D444" s="32">
        <v>2</v>
      </c>
      <c r="E444" s="15">
        <f>INDEX(monster!$H$2:$H$617,MATCH(skill!C444,monster!$A$2:$A$617,0))</f>
        <v>105.02</v>
      </c>
      <c r="F444" s="15">
        <f>INDEX(monster!$I$2:$I$617,MATCH(C444,monster!$A$2:$A$617,0))</f>
        <v>3.15</v>
      </c>
      <c r="G444" s="15" t="b">
        <f t="shared" si="25"/>
        <v>0</v>
      </c>
      <c r="H444" s="31">
        <v>0</v>
      </c>
      <c r="I444" s="15">
        <f>IF(H444&gt;0,HLOOKUP(R444/100,数值规划表!$B$37:$AA$39,3),1)</f>
        <v>1</v>
      </c>
      <c r="J444" s="31" t="s">
        <v>1627</v>
      </c>
      <c r="K444" s="15">
        <f>INDEX(数值规划表!$B$15:$B$18,MATCH(J444,攻击范围,0))</f>
        <v>0.7</v>
      </c>
      <c r="L444" s="41">
        <v>0.8</v>
      </c>
      <c r="M444" s="41">
        <v>0</v>
      </c>
      <c r="N444" s="15">
        <f t="shared" si="26"/>
        <v>59</v>
      </c>
      <c r="O444" s="15">
        <f t="shared" si="27"/>
        <v>1.76</v>
      </c>
      <c r="P444" s="15">
        <f>IF(G444,INDEX(monster!$J$2:$J$606,MATCH(skill!C444,monster!$A$2:$A$606,0)),Q444)</f>
        <v>10</v>
      </c>
      <c r="Q444" s="70">
        <v>10</v>
      </c>
      <c r="R444" s="33">
        <v>20</v>
      </c>
    </row>
    <row r="445" spans="1:18" s="38" customFormat="1" x14ac:dyDescent="0.15">
      <c r="A445" s="32">
        <v>10477</v>
      </c>
      <c r="B445" s="32" t="s">
        <v>883</v>
      </c>
      <c r="C445" s="31">
        <v>1143</v>
      </c>
      <c r="D445" s="32">
        <v>3</v>
      </c>
      <c r="E445" s="15">
        <f>INDEX(monster!$H$2:$H$617,MATCH(skill!C445,monster!$A$2:$A$617,0))</f>
        <v>117.62</v>
      </c>
      <c r="F445" s="15">
        <f>INDEX(monster!$I$2:$I$617,MATCH(C445,monster!$A$2:$A$617,0))</f>
        <v>3.53</v>
      </c>
      <c r="G445" s="15" t="b">
        <f t="shared" si="25"/>
        <v>0</v>
      </c>
      <c r="H445" s="31">
        <v>0</v>
      </c>
      <c r="I445" s="15">
        <f>IF(H445&gt;0,HLOOKUP(R445/100,数值规划表!$B$37:$AA$39,3),1)</f>
        <v>1</v>
      </c>
      <c r="J445" s="31" t="s">
        <v>1627</v>
      </c>
      <c r="K445" s="15">
        <f>INDEX(数值规划表!$B$15:$B$18,MATCH(J445,攻击范围,0))</f>
        <v>0.7</v>
      </c>
      <c r="L445" s="41">
        <v>0.8</v>
      </c>
      <c r="M445" s="41">
        <v>0</v>
      </c>
      <c r="N445" s="15">
        <f t="shared" si="26"/>
        <v>66</v>
      </c>
      <c r="O445" s="15">
        <f t="shared" si="27"/>
        <v>1.98</v>
      </c>
      <c r="P445" s="15">
        <f>IF(G445,INDEX(monster!$J$2:$J$606,MATCH(skill!C445,monster!$A$2:$A$606,0)),Q445)</f>
        <v>10</v>
      </c>
      <c r="Q445" s="70">
        <v>10</v>
      </c>
      <c r="R445" s="33">
        <v>20</v>
      </c>
    </row>
    <row r="446" spans="1:18" s="38" customFormat="1" x14ac:dyDescent="0.15">
      <c r="A446" s="32">
        <v>10478</v>
      </c>
      <c r="B446" s="32" t="s">
        <v>884</v>
      </c>
      <c r="C446" s="31">
        <v>1144</v>
      </c>
      <c r="D446" s="32">
        <v>4</v>
      </c>
      <c r="E446" s="15">
        <f>INDEX(monster!$H$2:$H$617,MATCH(skill!C446,monster!$A$2:$A$617,0))</f>
        <v>131.74</v>
      </c>
      <c r="F446" s="15">
        <f>INDEX(monster!$I$2:$I$617,MATCH(C446,monster!$A$2:$A$617,0))</f>
        <v>3.95</v>
      </c>
      <c r="G446" s="15" t="b">
        <f t="shared" si="25"/>
        <v>0</v>
      </c>
      <c r="H446" s="31">
        <v>0</v>
      </c>
      <c r="I446" s="15">
        <f>IF(H446&gt;0,HLOOKUP(R446/100,数值规划表!$B$37:$AA$39,3),1)</f>
        <v>1</v>
      </c>
      <c r="J446" s="31" t="s">
        <v>1627</v>
      </c>
      <c r="K446" s="15">
        <f>INDEX(数值规划表!$B$15:$B$18,MATCH(J446,攻击范围,0))</f>
        <v>0.7</v>
      </c>
      <c r="L446" s="41">
        <v>0.8</v>
      </c>
      <c r="M446" s="41">
        <v>0</v>
      </c>
      <c r="N446" s="15">
        <f t="shared" si="26"/>
        <v>74</v>
      </c>
      <c r="O446" s="15">
        <f t="shared" si="27"/>
        <v>2.21</v>
      </c>
      <c r="P446" s="15">
        <f>IF(G446,INDEX(monster!$J$2:$J$606,MATCH(skill!C446,monster!$A$2:$A$606,0)),Q446)</f>
        <v>10</v>
      </c>
      <c r="Q446" s="70">
        <v>10</v>
      </c>
      <c r="R446" s="33">
        <v>20</v>
      </c>
    </row>
    <row r="447" spans="1:18" s="38" customFormat="1" x14ac:dyDescent="0.15">
      <c r="A447" s="32">
        <v>10479</v>
      </c>
      <c r="B447" s="32" t="s">
        <v>885</v>
      </c>
      <c r="C447" s="31">
        <v>1145</v>
      </c>
      <c r="D447" s="32">
        <v>5</v>
      </c>
      <c r="E447" s="15">
        <f>INDEX(monster!$H$2:$H$617,MATCH(skill!C447,monster!$A$2:$A$617,0))</f>
        <v>147.54</v>
      </c>
      <c r="F447" s="15">
        <f>INDEX(monster!$I$2:$I$617,MATCH(C447,monster!$A$2:$A$617,0))</f>
        <v>4.43</v>
      </c>
      <c r="G447" s="15" t="b">
        <f t="shared" si="25"/>
        <v>0</v>
      </c>
      <c r="H447" s="31">
        <v>0</v>
      </c>
      <c r="I447" s="15">
        <f>IF(H447&gt;0,HLOOKUP(R447/100,数值规划表!$B$37:$AA$39,3),1)</f>
        <v>1</v>
      </c>
      <c r="J447" s="31" t="s">
        <v>1627</v>
      </c>
      <c r="K447" s="15">
        <f>INDEX(数值规划表!$B$15:$B$18,MATCH(J447,攻击范围,0))</f>
        <v>0.7</v>
      </c>
      <c r="L447" s="41">
        <v>0.8</v>
      </c>
      <c r="M447" s="41">
        <v>0</v>
      </c>
      <c r="N447" s="15">
        <f t="shared" si="26"/>
        <v>83</v>
      </c>
      <c r="O447" s="15">
        <f t="shared" si="27"/>
        <v>2.48</v>
      </c>
      <c r="P447" s="15">
        <f>IF(G447,INDEX(monster!$J$2:$J$606,MATCH(skill!C447,monster!$A$2:$A$606,0)),Q447)</f>
        <v>10</v>
      </c>
      <c r="Q447" s="70">
        <v>10</v>
      </c>
      <c r="R447" s="33">
        <v>20</v>
      </c>
    </row>
    <row r="448" spans="1:18" s="38" customFormat="1" x14ac:dyDescent="0.15">
      <c r="A448" s="32">
        <v>10480</v>
      </c>
      <c r="B448" s="32" t="s">
        <v>886</v>
      </c>
      <c r="C448" s="31">
        <v>1146</v>
      </c>
      <c r="D448" s="32">
        <v>6</v>
      </c>
      <c r="E448" s="15">
        <f>INDEX(monster!$H$2:$H$617,MATCH(skill!C448,monster!$A$2:$A$617,0))</f>
        <v>165.25</v>
      </c>
      <c r="F448" s="15">
        <f>INDEX(monster!$I$2:$I$617,MATCH(C448,monster!$A$2:$A$617,0))</f>
        <v>4.96</v>
      </c>
      <c r="G448" s="15" t="b">
        <f t="shared" si="25"/>
        <v>0</v>
      </c>
      <c r="H448" s="31">
        <v>0</v>
      </c>
      <c r="I448" s="15">
        <f>IF(H448&gt;0,HLOOKUP(R448/100,数值规划表!$B$37:$AA$39,3),1)</f>
        <v>1</v>
      </c>
      <c r="J448" s="31" t="s">
        <v>1627</v>
      </c>
      <c r="K448" s="15">
        <f>INDEX(数值规划表!$B$15:$B$18,MATCH(J448,攻击范围,0))</f>
        <v>0.7</v>
      </c>
      <c r="L448" s="41">
        <v>0.8</v>
      </c>
      <c r="M448" s="41">
        <v>0</v>
      </c>
      <c r="N448" s="15">
        <f t="shared" si="26"/>
        <v>93</v>
      </c>
      <c r="O448" s="15">
        <f t="shared" si="27"/>
        <v>2.78</v>
      </c>
      <c r="P448" s="15">
        <f>IF(G448,INDEX(monster!$J$2:$J$606,MATCH(skill!C448,monster!$A$2:$A$606,0)),Q448)</f>
        <v>10</v>
      </c>
      <c r="Q448" s="70">
        <v>10</v>
      </c>
      <c r="R448" s="33">
        <v>20</v>
      </c>
    </row>
    <row r="449" spans="1:18" s="38" customFormat="1" x14ac:dyDescent="0.15">
      <c r="A449" s="32">
        <v>10481</v>
      </c>
      <c r="B449" s="32" t="s">
        <v>887</v>
      </c>
      <c r="C449" s="31">
        <v>1147</v>
      </c>
      <c r="D449" s="32">
        <v>7</v>
      </c>
      <c r="E449" s="15">
        <f>INDEX(monster!$H$2:$H$617,MATCH(skill!C449,monster!$A$2:$A$617,0))</f>
        <v>185.08</v>
      </c>
      <c r="F449" s="15">
        <f>INDEX(monster!$I$2:$I$617,MATCH(C449,monster!$A$2:$A$617,0))</f>
        <v>5.55</v>
      </c>
      <c r="G449" s="15" t="b">
        <f t="shared" si="25"/>
        <v>0</v>
      </c>
      <c r="H449" s="31">
        <v>0</v>
      </c>
      <c r="I449" s="15">
        <f>IF(H449&gt;0,HLOOKUP(R449/100,数值规划表!$B$37:$AA$39,3),1)</f>
        <v>1</v>
      </c>
      <c r="J449" s="31" t="s">
        <v>1627</v>
      </c>
      <c r="K449" s="15">
        <f>INDEX(数值规划表!$B$15:$B$18,MATCH(J449,攻击范围,0))</f>
        <v>0.7</v>
      </c>
      <c r="L449" s="41">
        <v>0.8</v>
      </c>
      <c r="M449" s="41">
        <v>0</v>
      </c>
      <c r="N449" s="15">
        <f t="shared" si="26"/>
        <v>104</v>
      </c>
      <c r="O449" s="15">
        <f t="shared" si="27"/>
        <v>3.11</v>
      </c>
      <c r="P449" s="15">
        <f>IF(G449,INDEX(monster!$J$2:$J$606,MATCH(skill!C449,monster!$A$2:$A$606,0)),Q449)</f>
        <v>10</v>
      </c>
      <c r="Q449" s="70">
        <v>10</v>
      </c>
      <c r="R449" s="33">
        <v>20</v>
      </c>
    </row>
    <row r="450" spans="1:18" s="38" customFormat="1" x14ac:dyDescent="0.15">
      <c r="A450" s="32">
        <v>10482</v>
      </c>
      <c r="B450" s="32" t="s">
        <v>888</v>
      </c>
      <c r="C450" s="31">
        <v>1148</v>
      </c>
      <c r="D450" s="32">
        <v>8</v>
      </c>
      <c r="E450" s="15">
        <f>INDEX(monster!$H$2:$H$617,MATCH(skill!C450,monster!$A$2:$A$617,0))</f>
        <v>207.29</v>
      </c>
      <c r="F450" s="15">
        <f>INDEX(monster!$I$2:$I$617,MATCH(C450,monster!$A$2:$A$617,0))</f>
        <v>6.22</v>
      </c>
      <c r="G450" s="15" t="b">
        <f t="shared" si="25"/>
        <v>0</v>
      </c>
      <c r="H450" s="31">
        <v>0</v>
      </c>
      <c r="I450" s="15">
        <f>IF(H450&gt;0,HLOOKUP(R450/100,数值规划表!$B$37:$AA$39,3),1)</f>
        <v>1</v>
      </c>
      <c r="J450" s="31" t="s">
        <v>1627</v>
      </c>
      <c r="K450" s="15">
        <f>INDEX(数值规划表!$B$15:$B$18,MATCH(J450,攻击范围,0))</f>
        <v>0.7</v>
      </c>
      <c r="L450" s="41">
        <v>0.8</v>
      </c>
      <c r="M450" s="41">
        <v>0</v>
      </c>
      <c r="N450" s="15">
        <f t="shared" si="26"/>
        <v>116</v>
      </c>
      <c r="O450" s="15">
        <f t="shared" si="27"/>
        <v>3.48</v>
      </c>
      <c r="P450" s="15">
        <f>IF(G450,INDEX(monster!$J$2:$J$606,MATCH(skill!C450,monster!$A$2:$A$606,0)),Q450)</f>
        <v>10</v>
      </c>
      <c r="Q450" s="70">
        <v>10</v>
      </c>
      <c r="R450" s="33">
        <v>20</v>
      </c>
    </row>
    <row r="451" spans="1:18" s="38" customFormat="1" x14ac:dyDescent="0.15">
      <c r="A451" s="32">
        <v>10483</v>
      </c>
      <c r="B451" s="32" t="s">
        <v>889</v>
      </c>
      <c r="C451" s="31">
        <v>1149</v>
      </c>
      <c r="D451" s="32">
        <v>9</v>
      </c>
      <c r="E451" s="15">
        <f>INDEX(monster!$H$2:$H$617,MATCH(skill!C451,monster!$A$2:$A$617,0))</f>
        <v>232.16</v>
      </c>
      <c r="F451" s="15">
        <f>INDEX(monster!$I$2:$I$617,MATCH(C451,monster!$A$2:$A$617,0))</f>
        <v>6.96</v>
      </c>
      <c r="G451" s="15" t="b">
        <f t="shared" si="25"/>
        <v>0</v>
      </c>
      <c r="H451" s="31">
        <v>0</v>
      </c>
      <c r="I451" s="15">
        <f>IF(H451&gt;0,HLOOKUP(R451/100,数值规划表!$B$37:$AA$39,3),1)</f>
        <v>1</v>
      </c>
      <c r="J451" s="31" t="s">
        <v>1627</v>
      </c>
      <c r="K451" s="15">
        <f>INDEX(数值规划表!$B$15:$B$18,MATCH(J451,攻击范围,0))</f>
        <v>0.7</v>
      </c>
      <c r="L451" s="41">
        <v>0.8</v>
      </c>
      <c r="M451" s="41">
        <v>0</v>
      </c>
      <c r="N451" s="15">
        <f t="shared" si="26"/>
        <v>130</v>
      </c>
      <c r="O451" s="15">
        <f t="shared" si="27"/>
        <v>3.9</v>
      </c>
      <c r="P451" s="15">
        <f>IF(G451,INDEX(monster!$J$2:$J$606,MATCH(skill!C451,monster!$A$2:$A$606,0)),Q451)</f>
        <v>10</v>
      </c>
      <c r="Q451" s="70">
        <v>10</v>
      </c>
      <c r="R451" s="33">
        <v>20</v>
      </c>
    </row>
    <row r="452" spans="1:18" s="38" customFormat="1" x14ac:dyDescent="0.15">
      <c r="A452" s="32">
        <v>10484</v>
      </c>
      <c r="B452" s="32" t="s">
        <v>890</v>
      </c>
      <c r="C452" s="31">
        <v>1150</v>
      </c>
      <c r="D452" s="32">
        <v>10</v>
      </c>
      <c r="E452" s="15">
        <f>INDEX(monster!$H$2:$H$617,MATCH(skill!C452,monster!$A$2:$A$617,0))</f>
        <v>260.02</v>
      </c>
      <c r="F452" s="15">
        <f>INDEX(monster!$I$2:$I$617,MATCH(C452,monster!$A$2:$A$617,0))</f>
        <v>7.8</v>
      </c>
      <c r="G452" s="15" t="b">
        <f t="shared" si="25"/>
        <v>0</v>
      </c>
      <c r="H452" s="31">
        <v>0</v>
      </c>
      <c r="I452" s="15">
        <f>IF(H452&gt;0,HLOOKUP(R452/100,数值规划表!$B$37:$AA$39,3),1)</f>
        <v>1</v>
      </c>
      <c r="J452" s="31" t="s">
        <v>1627</v>
      </c>
      <c r="K452" s="15">
        <f>INDEX(数值规划表!$B$15:$B$18,MATCH(J452,攻击范围,0))</f>
        <v>0.7</v>
      </c>
      <c r="L452" s="41">
        <v>0.8</v>
      </c>
      <c r="M452" s="41">
        <v>0</v>
      </c>
      <c r="N452" s="15">
        <f t="shared" si="26"/>
        <v>146</v>
      </c>
      <c r="O452" s="15">
        <f t="shared" si="27"/>
        <v>4.37</v>
      </c>
      <c r="P452" s="15">
        <f>IF(G452,INDEX(monster!$J$2:$J$606,MATCH(skill!C452,monster!$A$2:$A$606,0)),Q452)</f>
        <v>10</v>
      </c>
      <c r="Q452" s="70">
        <v>10</v>
      </c>
      <c r="R452" s="33">
        <v>20</v>
      </c>
    </row>
    <row r="453" spans="1:18" s="38" customFormat="1" x14ac:dyDescent="0.15">
      <c r="A453" s="32">
        <v>10276</v>
      </c>
      <c r="B453" s="32" t="s">
        <v>1676</v>
      </c>
      <c r="C453" s="32">
        <v>1184</v>
      </c>
      <c r="D453" s="32">
        <v>0</v>
      </c>
      <c r="E453" s="15">
        <f>INDEX(monster!$H$2:$H$617,MATCH(skill!C453,monster!$A$2:$A$617,0))</f>
        <v>98.34</v>
      </c>
      <c r="F453" s="15">
        <f>INDEX(monster!$I$2:$I$617,MATCH(C453,monster!$A$2:$A$617,0))</f>
        <v>2.95</v>
      </c>
      <c r="G453" s="15" t="b">
        <f t="shared" ref="G453:G463" si="28">ISNUMBER(FIND("普攻",B453))</f>
        <v>1</v>
      </c>
      <c r="H453" s="32">
        <v>1</v>
      </c>
      <c r="I453" s="15">
        <f>IF(H453&gt;0,HLOOKUP(R453/100,数值规划表!$B$37:$AA$39,3),1)</f>
        <v>1.7999999999999998</v>
      </c>
      <c r="J453" s="31" t="s">
        <v>1627</v>
      </c>
      <c r="K453" s="15">
        <f>INDEX(数值规划表!$B$15:$B$18,MATCH(J453,攻击范围,0))</f>
        <v>0.7</v>
      </c>
      <c r="L453" s="30">
        <v>1</v>
      </c>
      <c r="M453" s="41">
        <v>0</v>
      </c>
      <c r="N453" s="15">
        <f t="shared" si="26"/>
        <v>124</v>
      </c>
      <c r="O453" s="15">
        <f t="shared" si="27"/>
        <v>3.72</v>
      </c>
      <c r="P453" s="15">
        <f>IF(G453,INDEX(monster!$J$2:$J$606,MATCH(skill!C453,monster!$A$2:$A$606,0)),Q453)</f>
        <v>1.2</v>
      </c>
      <c r="Q453" s="70"/>
      <c r="R453" s="33">
        <v>150</v>
      </c>
    </row>
    <row r="454" spans="1:18" s="38" customFormat="1" x14ac:dyDescent="0.15">
      <c r="A454" s="32">
        <v>10277</v>
      </c>
      <c r="B454" s="32" t="s">
        <v>1677</v>
      </c>
      <c r="C454" s="32">
        <v>1185</v>
      </c>
      <c r="D454" s="32">
        <v>1</v>
      </c>
      <c r="E454" s="15">
        <f>INDEX(monster!$H$2:$H$617,MATCH(skill!C454,monster!$A$2:$A$617,0))</f>
        <v>110.14</v>
      </c>
      <c r="F454" s="15">
        <f>INDEX(monster!$I$2:$I$617,MATCH(C454,monster!$A$2:$A$617,0))</f>
        <v>3.3</v>
      </c>
      <c r="G454" s="15" t="b">
        <f t="shared" si="28"/>
        <v>1</v>
      </c>
      <c r="H454" s="32">
        <v>1</v>
      </c>
      <c r="I454" s="15">
        <f>IF(H454&gt;0,HLOOKUP(R454/100,数值规划表!$B$37:$AA$39,3),1)</f>
        <v>1.7999999999999998</v>
      </c>
      <c r="J454" s="31" t="s">
        <v>1627</v>
      </c>
      <c r="K454" s="15">
        <f>INDEX(数值规划表!$B$15:$B$18,MATCH(J454,攻击范围,0))</f>
        <v>0.7</v>
      </c>
      <c r="L454" s="70">
        <v>1</v>
      </c>
      <c r="M454" s="41">
        <v>0</v>
      </c>
      <c r="N454" s="15">
        <f t="shared" si="26"/>
        <v>139</v>
      </c>
      <c r="O454" s="15">
        <f t="shared" si="27"/>
        <v>4.16</v>
      </c>
      <c r="P454" s="15">
        <f>IF(G454,INDEX(monster!$J$2:$J$606,MATCH(skill!C454,monster!$A$2:$A$606,0)),Q454)</f>
        <v>1.2</v>
      </c>
      <c r="Q454" s="70"/>
      <c r="R454" s="33">
        <v>150</v>
      </c>
    </row>
    <row r="455" spans="1:18" s="38" customFormat="1" x14ac:dyDescent="0.15">
      <c r="A455" s="32">
        <v>10278</v>
      </c>
      <c r="B455" s="32" t="s">
        <v>1678</v>
      </c>
      <c r="C455" s="32">
        <v>1186</v>
      </c>
      <c r="D455" s="32">
        <v>2</v>
      </c>
      <c r="E455" s="15">
        <f>INDEX(monster!$H$2:$H$617,MATCH(skill!C455,monster!$A$2:$A$617,0))</f>
        <v>123.36</v>
      </c>
      <c r="F455" s="15">
        <f>INDEX(monster!$I$2:$I$617,MATCH(C455,monster!$A$2:$A$617,0))</f>
        <v>3.7</v>
      </c>
      <c r="G455" s="15" t="b">
        <f t="shared" si="28"/>
        <v>1</v>
      </c>
      <c r="H455" s="32">
        <v>1</v>
      </c>
      <c r="I455" s="15">
        <f>IF(H455&gt;0,HLOOKUP(R455/100,数值规划表!$B$37:$AA$39,3),1)</f>
        <v>1.7999999999999998</v>
      </c>
      <c r="J455" s="31" t="s">
        <v>1627</v>
      </c>
      <c r="K455" s="15">
        <f>INDEX(数值规划表!$B$15:$B$18,MATCH(J455,攻击范围,0))</f>
        <v>0.7</v>
      </c>
      <c r="L455" s="70">
        <v>1</v>
      </c>
      <c r="M455" s="41">
        <v>0</v>
      </c>
      <c r="N455" s="15">
        <f t="shared" si="26"/>
        <v>155</v>
      </c>
      <c r="O455" s="15">
        <f t="shared" si="27"/>
        <v>4.66</v>
      </c>
      <c r="P455" s="15">
        <f>IF(G455,INDEX(monster!$J$2:$J$606,MATCH(skill!C455,monster!$A$2:$A$606,0)),Q455)</f>
        <v>1.2</v>
      </c>
      <c r="Q455" s="70"/>
      <c r="R455" s="33">
        <v>150</v>
      </c>
    </row>
    <row r="456" spans="1:18" s="38" customFormat="1" x14ac:dyDescent="0.15">
      <c r="A456" s="32">
        <v>10279</v>
      </c>
      <c r="B456" s="32" t="s">
        <v>1679</v>
      </c>
      <c r="C456" s="32">
        <v>1187</v>
      </c>
      <c r="D456" s="32">
        <v>3</v>
      </c>
      <c r="E456" s="15">
        <f>INDEX(monster!$H$2:$H$617,MATCH(skill!C456,monster!$A$2:$A$617,0))</f>
        <v>138.16</v>
      </c>
      <c r="F456" s="15">
        <f>INDEX(monster!$I$2:$I$617,MATCH(C456,monster!$A$2:$A$617,0))</f>
        <v>4.1399999999999997</v>
      </c>
      <c r="G456" s="15" t="b">
        <f t="shared" si="28"/>
        <v>1</v>
      </c>
      <c r="H456" s="32">
        <v>1</v>
      </c>
      <c r="I456" s="15">
        <f>IF(H456&gt;0,HLOOKUP(R456/100,数值规划表!$B$37:$AA$39,3),1)</f>
        <v>1.7999999999999998</v>
      </c>
      <c r="J456" s="31" t="s">
        <v>1627</v>
      </c>
      <c r="K456" s="15">
        <f>INDEX(数值规划表!$B$15:$B$18,MATCH(J456,攻击范围,0))</f>
        <v>0.7</v>
      </c>
      <c r="L456" s="70">
        <v>1</v>
      </c>
      <c r="M456" s="41">
        <v>0</v>
      </c>
      <c r="N456" s="15">
        <f t="shared" si="26"/>
        <v>174</v>
      </c>
      <c r="O456" s="15">
        <f t="shared" si="27"/>
        <v>5.22</v>
      </c>
      <c r="P456" s="15">
        <f>IF(G456,INDEX(monster!$J$2:$J$606,MATCH(skill!C456,monster!$A$2:$A$606,0)),Q456)</f>
        <v>1.2</v>
      </c>
      <c r="Q456" s="70"/>
      <c r="R456" s="33">
        <v>150</v>
      </c>
    </row>
    <row r="457" spans="1:18" s="38" customFormat="1" x14ac:dyDescent="0.15">
      <c r="A457" s="32">
        <v>10280</v>
      </c>
      <c r="B457" s="32" t="s">
        <v>1680</v>
      </c>
      <c r="C457" s="32">
        <v>1188</v>
      </c>
      <c r="D457" s="32">
        <v>4</v>
      </c>
      <c r="E457" s="15">
        <f>INDEX(monster!$H$2:$H$617,MATCH(skill!C457,monster!$A$2:$A$617,0))</f>
        <v>154.74</v>
      </c>
      <c r="F457" s="15">
        <f>INDEX(monster!$I$2:$I$617,MATCH(C457,monster!$A$2:$A$617,0))</f>
        <v>4.6399999999999997</v>
      </c>
      <c r="G457" s="15" t="b">
        <f t="shared" si="28"/>
        <v>1</v>
      </c>
      <c r="H457" s="32">
        <v>1</v>
      </c>
      <c r="I457" s="15">
        <f>IF(H457&gt;0,HLOOKUP(R457/100,数值规划表!$B$37:$AA$39,3),1)</f>
        <v>1.7999999999999998</v>
      </c>
      <c r="J457" s="31" t="s">
        <v>1627</v>
      </c>
      <c r="K457" s="15">
        <f>INDEX(数值规划表!$B$15:$B$18,MATCH(J457,攻击范围,0))</f>
        <v>0.7</v>
      </c>
      <c r="L457" s="70">
        <v>1</v>
      </c>
      <c r="M457" s="41">
        <v>0</v>
      </c>
      <c r="N457" s="15">
        <f t="shared" si="26"/>
        <v>195</v>
      </c>
      <c r="O457" s="15">
        <f t="shared" si="27"/>
        <v>5.85</v>
      </c>
      <c r="P457" s="15">
        <f>IF(G457,INDEX(monster!$J$2:$J$606,MATCH(skill!C457,monster!$A$2:$A$606,0)),Q457)</f>
        <v>1.2</v>
      </c>
      <c r="Q457" s="70"/>
      <c r="R457" s="33">
        <v>150</v>
      </c>
    </row>
    <row r="458" spans="1:18" s="38" customFormat="1" x14ac:dyDescent="0.15">
      <c r="A458" s="32">
        <v>10281</v>
      </c>
      <c r="B458" s="32" t="s">
        <v>1681</v>
      </c>
      <c r="C458" s="32">
        <v>1189</v>
      </c>
      <c r="D458" s="32">
        <v>5</v>
      </c>
      <c r="E458" s="15">
        <f>INDEX(monster!$H$2:$H$617,MATCH(skill!C458,monster!$A$2:$A$617,0))</f>
        <v>173.31</v>
      </c>
      <c r="F458" s="15">
        <f>INDEX(monster!$I$2:$I$617,MATCH(C458,monster!$A$2:$A$617,0))</f>
        <v>5.2</v>
      </c>
      <c r="G458" s="15" t="b">
        <f t="shared" si="28"/>
        <v>1</v>
      </c>
      <c r="H458" s="32">
        <v>1</v>
      </c>
      <c r="I458" s="15">
        <f>IF(H458&gt;0,HLOOKUP(R458/100,数值规划表!$B$37:$AA$39,3),1)</f>
        <v>1.7999999999999998</v>
      </c>
      <c r="J458" s="31" t="s">
        <v>1627</v>
      </c>
      <c r="K458" s="15">
        <f>INDEX(数值规划表!$B$15:$B$18,MATCH(J458,攻击范围,0))</f>
        <v>0.7</v>
      </c>
      <c r="L458" s="70">
        <v>1</v>
      </c>
      <c r="M458" s="41">
        <v>0</v>
      </c>
      <c r="N458" s="15">
        <f t="shared" si="26"/>
        <v>218</v>
      </c>
      <c r="O458" s="15">
        <f t="shared" si="27"/>
        <v>6.55</v>
      </c>
      <c r="P458" s="15">
        <f>IF(G458,INDEX(monster!$J$2:$J$606,MATCH(skill!C458,monster!$A$2:$A$606,0)),Q458)</f>
        <v>1.2</v>
      </c>
      <c r="Q458" s="70"/>
      <c r="R458" s="33">
        <v>150</v>
      </c>
    </row>
    <row r="459" spans="1:18" s="38" customFormat="1" x14ac:dyDescent="0.15">
      <c r="A459" s="32">
        <v>10282</v>
      </c>
      <c r="B459" s="32" t="s">
        <v>1682</v>
      </c>
      <c r="C459" s="32">
        <v>1190</v>
      </c>
      <c r="D459" s="32">
        <v>6</v>
      </c>
      <c r="E459" s="15">
        <f>INDEX(monster!$H$2:$H$617,MATCH(skill!C459,monster!$A$2:$A$617,0))</f>
        <v>194.11</v>
      </c>
      <c r="F459" s="15">
        <f>INDEX(monster!$I$2:$I$617,MATCH(C459,monster!$A$2:$A$617,0))</f>
        <v>5.82</v>
      </c>
      <c r="G459" s="15" t="b">
        <f t="shared" si="28"/>
        <v>1</v>
      </c>
      <c r="H459" s="32">
        <v>1</v>
      </c>
      <c r="I459" s="15">
        <f>IF(H459&gt;0,HLOOKUP(R459/100,数值规划表!$B$37:$AA$39,3),1)</f>
        <v>1.7999999999999998</v>
      </c>
      <c r="J459" s="31" t="s">
        <v>1627</v>
      </c>
      <c r="K459" s="15">
        <f>INDEX(数值规划表!$B$15:$B$18,MATCH(J459,攻击范围,0))</f>
        <v>0.7</v>
      </c>
      <c r="L459" s="70">
        <v>1</v>
      </c>
      <c r="M459" s="41">
        <v>0</v>
      </c>
      <c r="N459" s="15">
        <f t="shared" si="26"/>
        <v>245</v>
      </c>
      <c r="O459" s="15">
        <f t="shared" si="27"/>
        <v>7.33</v>
      </c>
      <c r="P459" s="15">
        <f>IF(G459,INDEX(monster!$J$2:$J$606,MATCH(skill!C459,monster!$A$2:$A$606,0)),Q459)</f>
        <v>1.2</v>
      </c>
      <c r="Q459" s="70"/>
      <c r="R459" s="33">
        <v>150</v>
      </c>
    </row>
    <row r="460" spans="1:18" s="38" customFormat="1" x14ac:dyDescent="0.15">
      <c r="A460" s="32">
        <v>10283</v>
      </c>
      <c r="B460" s="32" t="s">
        <v>1683</v>
      </c>
      <c r="C460" s="32">
        <v>1191</v>
      </c>
      <c r="D460" s="32">
        <v>7</v>
      </c>
      <c r="E460" s="15">
        <f>INDEX(monster!$H$2:$H$617,MATCH(skill!C460,monster!$A$2:$A$617,0))</f>
        <v>217.4</v>
      </c>
      <c r="F460" s="15">
        <f>INDEX(monster!$I$2:$I$617,MATCH(C460,monster!$A$2:$A$617,0))</f>
        <v>6.52</v>
      </c>
      <c r="G460" s="15" t="b">
        <f t="shared" si="28"/>
        <v>1</v>
      </c>
      <c r="H460" s="32">
        <v>1</v>
      </c>
      <c r="I460" s="15">
        <f>IF(H460&gt;0,HLOOKUP(R460/100,数值规划表!$B$37:$AA$39,3),1)</f>
        <v>1.7999999999999998</v>
      </c>
      <c r="J460" s="31" t="s">
        <v>1627</v>
      </c>
      <c r="K460" s="15">
        <f>INDEX(数值规划表!$B$15:$B$18,MATCH(J460,攻击范围,0))</f>
        <v>0.7</v>
      </c>
      <c r="L460" s="70">
        <v>1</v>
      </c>
      <c r="M460" s="41">
        <v>0</v>
      </c>
      <c r="N460" s="15">
        <f t="shared" si="26"/>
        <v>274</v>
      </c>
      <c r="O460" s="15">
        <f t="shared" si="27"/>
        <v>8.2200000000000006</v>
      </c>
      <c r="P460" s="15">
        <f>IF(G460,INDEX(monster!$J$2:$J$606,MATCH(skill!C460,monster!$A$2:$A$606,0)),Q460)</f>
        <v>1.2</v>
      </c>
      <c r="Q460" s="70"/>
      <c r="R460" s="33">
        <v>150</v>
      </c>
    </row>
    <row r="461" spans="1:18" s="38" customFormat="1" x14ac:dyDescent="0.15">
      <c r="A461" s="32">
        <v>10284</v>
      </c>
      <c r="B461" s="32" t="s">
        <v>1684</v>
      </c>
      <c r="C461" s="32">
        <v>1192</v>
      </c>
      <c r="D461" s="32">
        <v>8</v>
      </c>
      <c r="E461" s="15">
        <f>INDEX(monster!$H$2:$H$617,MATCH(skill!C461,monster!$A$2:$A$617,0))</f>
        <v>243.49</v>
      </c>
      <c r="F461" s="15">
        <f>INDEX(monster!$I$2:$I$617,MATCH(C461,monster!$A$2:$A$617,0))</f>
        <v>7.3</v>
      </c>
      <c r="G461" s="15" t="b">
        <f t="shared" si="28"/>
        <v>1</v>
      </c>
      <c r="H461" s="32">
        <v>1</v>
      </c>
      <c r="I461" s="15">
        <f>IF(H461&gt;0,HLOOKUP(R461/100,数值规划表!$B$37:$AA$39,3),1)</f>
        <v>1.7999999999999998</v>
      </c>
      <c r="J461" s="31" t="s">
        <v>1627</v>
      </c>
      <c r="K461" s="15">
        <f>INDEX(数值规划表!$B$15:$B$18,MATCH(J461,攻击范围,0))</f>
        <v>0.7</v>
      </c>
      <c r="L461" s="70">
        <v>1</v>
      </c>
      <c r="M461" s="41">
        <v>0</v>
      </c>
      <c r="N461" s="15">
        <f t="shared" si="26"/>
        <v>307</v>
      </c>
      <c r="O461" s="15">
        <f t="shared" si="27"/>
        <v>9.1999999999999993</v>
      </c>
      <c r="P461" s="15">
        <f>IF(G461,INDEX(monster!$J$2:$J$606,MATCH(skill!C461,monster!$A$2:$A$606,0)),Q461)</f>
        <v>1.2</v>
      </c>
      <c r="Q461" s="70"/>
      <c r="R461" s="33">
        <v>150</v>
      </c>
    </row>
    <row r="462" spans="1:18" s="38" customFormat="1" x14ac:dyDescent="0.15">
      <c r="A462" s="32">
        <v>10285</v>
      </c>
      <c r="B462" s="32" t="s">
        <v>1685</v>
      </c>
      <c r="C462" s="32">
        <v>1193</v>
      </c>
      <c r="D462" s="32">
        <v>9</v>
      </c>
      <c r="E462" s="15">
        <f>INDEX(monster!$H$2:$H$617,MATCH(skill!C462,monster!$A$2:$A$617,0))</f>
        <v>272.7</v>
      </c>
      <c r="F462" s="15">
        <f>INDEX(monster!$I$2:$I$617,MATCH(C462,monster!$A$2:$A$617,0))</f>
        <v>8.18</v>
      </c>
      <c r="G462" s="15" t="b">
        <f t="shared" si="28"/>
        <v>1</v>
      </c>
      <c r="H462" s="32">
        <v>1</v>
      </c>
      <c r="I462" s="15">
        <f>IF(H462&gt;0,HLOOKUP(R462/100,数值规划表!$B$37:$AA$39,3),1)</f>
        <v>1.7999999999999998</v>
      </c>
      <c r="J462" s="31" t="s">
        <v>1627</v>
      </c>
      <c r="K462" s="15">
        <f>INDEX(数值规划表!$B$15:$B$18,MATCH(J462,攻击范围,0))</f>
        <v>0.7</v>
      </c>
      <c r="L462" s="70">
        <v>1</v>
      </c>
      <c r="M462" s="41">
        <v>0</v>
      </c>
      <c r="N462" s="15">
        <f t="shared" si="26"/>
        <v>344</v>
      </c>
      <c r="O462" s="15">
        <f t="shared" si="27"/>
        <v>10.31</v>
      </c>
      <c r="P462" s="15">
        <f>IF(G462,INDEX(monster!$J$2:$J$606,MATCH(skill!C462,monster!$A$2:$A$606,0)),Q462)</f>
        <v>1.2</v>
      </c>
      <c r="Q462" s="70"/>
      <c r="R462" s="33">
        <v>150</v>
      </c>
    </row>
    <row r="463" spans="1:18" s="38" customFormat="1" x14ac:dyDescent="0.15">
      <c r="A463" s="32">
        <v>10286</v>
      </c>
      <c r="B463" s="32" t="s">
        <v>1686</v>
      </c>
      <c r="C463" s="32">
        <v>1194</v>
      </c>
      <c r="D463" s="32">
        <v>10</v>
      </c>
      <c r="E463" s="15">
        <f>INDEX(monster!$H$2:$H$617,MATCH(skill!C463,monster!$A$2:$A$617,0))</f>
        <v>305.43</v>
      </c>
      <c r="F463" s="15">
        <f>INDEX(monster!$I$2:$I$617,MATCH(C463,monster!$A$2:$A$617,0))</f>
        <v>9.16</v>
      </c>
      <c r="G463" s="15" t="b">
        <f t="shared" si="28"/>
        <v>1</v>
      </c>
      <c r="H463" s="32">
        <v>1</v>
      </c>
      <c r="I463" s="15">
        <f>IF(H463&gt;0,HLOOKUP(R463/100,数值规划表!$B$37:$AA$39,3),1)</f>
        <v>1.7999999999999998</v>
      </c>
      <c r="J463" s="31" t="s">
        <v>1627</v>
      </c>
      <c r="K463" s="15">
        <f>INDEX(数值规划表!$B$15:$B$18,MATCH(J463,攻击范围,0))</f>
        <v>0.7</v>
      </c>
      <c r="L463" s="70">
        <v>1</v>
      </c>
      <c r="M463" s="41">
        <v>0</v>
      </c>
      <c r="N463" s="15">
        <f t="shared" si="26"/>
        <v>385</v>
      </c>
      <c r="O463" s="15">
        <f t="shared" si="27"/>
        <v>11.54</v>
      </c>
      <c r="P463" s="15">
        <f>IF(G463,INDEX(monster!$J$2:$J$606,MATCH(skill!C463,monster!$A$2:$A$606,0)),Q463)</f>
        <v>1.2</v>
      </c>
      <c r="Q463" s="70"/>
      <c r="R463" s="33">
        <v>150</v>
      </c>
    </row>
    <row r="464" spans="1:18" s="38" customFormat="1" x14ac:dyDescent="0.15">
      <c r="A464" s="32">
        <v>10485</v>
      </c>
      <c r="B464" s="32" t="s">
        <v>1501</v>
      </c>
      <c r="C464" s="31">
        <v>1184</v>
      </c>
      <c r="D464" s="32">
        <v>0</v>
      </c>
      <c r="E464" s="15">
        <f>INDEX(monster!$H$2:$H$617,MATCH(skill!C464,monster!$A$2:$A$617,0))</f>
        <v>98.34</v>
      </c>
      <c r="F464" s="15">
        <f>INDEX(monster!$I$2:$I$617,MATCH(C464,monster!$A$2:$A$617,0))</f>
        <v>2.95</v>
      </c>
      <c r="G464" s="15" t="b">
        <f t="shared" si="25"/>
        <v>1</v>
      </c>
      <c r="H464" s="31">
        <v>1</v>
      </c>
      <c r="I464" s="15">
        <f>IF(H464&gt;0,HLOOKUP(R464/100,数值规划表!$B$37:$AA$39,3),1)</f>
        <v>2.8</v>
      </c>
      <c r="J464" s="31" t="s">
        <v>1625</v>
      </c>
      <c r="K464" s="15">
        <f>INDEX(数值规划表!$B$15:$B$18,MATCH(J464,攻击范围,0))</f>
        <v>1</v>
      </c>
      <c r="L464" s="30">
        <v>0.85</v>
      </c>
      <c r="M464" s="41">
        <v>0</v>
      </c>
      <c r="N464" s="15">
        <f t="shared" si="26"/>
        <v>234</v>
      </c>
      <c r="O464" s="15">
        <f t="shared" si="27"/>
        <v>7.02</v>
      </c>
      <c r="P464" s="15">
        <f>IF(G464,INDEX(monster!$J$2:$J$606,MATCH(skill!C464,monster!$A$2:$A$606,0)),Q464)</f>
        <v>1.2</v>
      </c>
      <c r="Q464" s="70"/>
      <c r="R464" s="33">
        <v>200</v>
      </c>
    </row>
    <row r="465" spans="1:18" s="38" customFormat="1" x14ac:dyDescent="0.15">
      <c r="A465" s="32">
        <v>10486</v>
      </c>
      <c r="B465" s="32" t="s">
        <v>891</v>
      </c>
      <c r="C465" s="31">
        <v>1185</v>
      </c>
      <c r="D465" s="32">
        <v>1</v>
      </c>
      <c r="E465" s="15">
        <f>INDEX(monster!$H$2:$H$617,MATCH(skill!C465,monster!$A$2:$A$617,0))</f>
        <v>110.14</v>
      </c>
      <c r="F465" s="15">
        <f>INDEX(monster!$I$2:$I$617,MATCH(C465,monster!$A$2:$A$617,0))</f>
        <v>3.3</v>
      </c>
      <c r="G465" s="15" t="b">
        <f t="shared" si="25"/>
        <v>1</v>
      </c>
      <c r="H465" s="31">
        <v>1</v>
      </c>
      <c r="I465" s="15">
        <f>IF(H465&gt;0,HLOOKUP(R465/100,数值规划表!$B$37:$AA$39,3),1)</f>
        <v>2.8</v>
      </c>
      <c r="J465" s="31" t="s">
        <v>1625</v>
      </c>
      <c r="K465" s="15">
        <f>INDEX(数值规划表!$B$15:$B$18,MATCH(J465,攻击范围,0))</f>
        <v>1</v>
      </c>
      <c r="L465" s="70">
        <v>0.85</v>
      </c>
      <c r="M465" s="41">
        <v>0</v>
      </c>
      <c r="N465" s="15">
        <f t="shared" si="26"/>
        <v>262</v>
      </c>
      <c r="O465" s="15">
        <f t="shared" si="27"/>
        <v>7.85</v>
      </c>
      <c r="P465" s="15">
        <f>IF(G465,INDEX(monster!$J$2:$J$606,MATCH(skill!C465,monster!$A$2:$A$606,0)),Q465)</f>
        <v>1.2</v>
      </c>
      <c r="Q465" s="70"/>
      <c r="R465" s="33">
        <v>200</v>
      </c>
    </row>
    <row r="466" spans="1:18" s="38" customFormat="1" x14ac:dyDescent="0.15">
      <c r="A466" s="32">
        <v>10487</v>
      </c>
      <c r="B466" s="32" t="s">
        <v>892</v>
      </c>
      <c r="C466" s="31">
        <v>1186</v>
      </c>
      <c r="D466" s="32">
        <v>2</v>
      </c>
      <c r="E466" s="15">
        <f>INDEX(monster!$H$2:$H$617,MATCH(skill!C466,monster!$A$2:$A$617,0))</f>
        <v>123.36</v>
      </c>
      <c r="F466" s="15">
        <f>INDEX(monster!$I$2:$I$617,MATCH(C466,monster!$A$2:$A$617,0))</f>
        <v>3.7</v>
      </c>
      <c r="G466" s="15" t="b">
        <f t="shared" si="25"/>
        <v>1</v>
      </c>
      <c r="H466" s="31">
        <v>1</v>
      </c>
      <c r="I466" s="15">
        <f>IF(H466&gt;0,HLOOKUP(R466/100,数值规划表!$B$37:$AA$39,3),1)</f>
        <v>2.8</v>
      </c>
      <c r="J466" s="31" t="s">
        <v>1625</v>
      </c>
      <c r="K466" s="15">
        <f>INDEX(数值规划表!$B$15:$B$18,MATCH(J466,攻击范围,0))</f>
        <v>1</v>
      </c>
      <c r="L466" s="70">
        <v>0.85</v>
      </c>
      <c r="M466" s="41">
        <v>0</v>
      </c>
      <c r="N466" s="15">
        <f t="shared" si="26"/>
        <v>294</v>
      </c>
      <c r="O466" s="15">
        <f t="shared" si="27"/>
        <v>8.81</v>
      </c>
      <c r="P466" s="15">
        <f>IF(G466,INDEX(monster!$J$2:$J$606,MATCH(skill!C466,monster!$A$2:$A$606,0)),Q466)</f>
        <v>1.2</v>
      </c>
      <c r="Q466" s="70"/>
      <c r="R466" s="33">
        <v>200</v>
      </c>
    </row>
    <row r="467" spans="1:18" s="38" customFormat="1" x14ac:dyDescent="0.15">
      <c r="A467" s="32">
        <v>10488</v>
      </c>
      <c r="B467" s="32" t="s">
        <v>893</v>
      </c>
      <c r="C467" s="31">
        <v>1187</v>
      </c>
      <c r="D467" s="32">
        <v>3</v>
      </c>
      <c r="E467" s="15">
        <f>INDEX(monster!$H$2:$H$617,MATCH(skill!C467,monster!$A$2:$A$617,0))</f>
        <v>138.16</v>
      </c>
      <c r="F467" s="15">
        <f>INDEX(monster!$I$2:$I$617,MATCH(C467,monster!$A$2:$A$617,0))</f>
        <v>4.1399999999999997</v>
      </c>
      <c r="G467" s="15" t="b">
        <f t="shared" si="25"/>
        <v>1</v>
      </c>
      <c r="H467" s="31">
        <v>1</v>
      </c>
      <c r="I467" s="15">
        <f>IF(H467&gt;0,HLOOKUP(R467/100,数值规划表!$B$37:$AA$39,3),1)</f>
        <v>2.8</v>
      </c>
      <c r="J467" s="31" t="s">
        <v>1625</v>
      </c>
      <c r="K467" s="15">
        <f>INDEX(数值规划表!$B$15:$B$18,MATCH(J467,攻击范围,0))</f>
        <v>1</v>
      </c>
      <c r="L467" s="70">
        <v>0.85</v>
      </c>
      <c r="M467" s="41">
        <v>0</v>
      </c>
      <c r="N467" s="15">
        <f t="shared" si="26"/>
        <v>329</v>
      </c>
      <c r="O467" s="15">
        <f t="shared" si="27"/>
        <v>9.85</v>
      </c>
      <c r="P467" s="15">
        <f>IF(G467,INDEX(monster!$J$2:$J$606,MATCH(skill!C467,monster!$A$2:$A$606,0)),Q467)</f>
        <v>1.2</v>
      </c>
      <c r="Q467" s="70"/>
      <c r="R467" s="33">
        <v>200</v>
      </c>
    </row>
    <row r="468" spans="1:18" s="38" customFormat="1" x14ac:dyDescent="0.15">
      <c r="A468" s="32">
        <v>10489</v>
      </c>
      <c r="B468" s="32" t="s">
        <v>894</v>
      </c>
      <c r="C468" s="31">
        <v>1188</v>
      </c>
      <c r="D468" s="32">
        <v>4</v>
      </c>
      <c r="E468" s="15">
        <f>INDEX(monster!$H$2:$H$617,MATCH(skill!C468,monster!$A$2:$A$617,0))</f>
        <v>154.74</v>
      </c>
      <c r="F468" s="15">
        <f>INDEX(monster!$I$2:$I$617,MATCH(C468,monster!$A$2:$A$617,0))</f>
        <v>4.6399999999999997</v>
      </c>
      <c r="G468" s="15" t="b">
        <f t="shared" si="25"/>
        <v>1</v>
      </c>
      <c r="H468" s="31">
        <v>1</v>
      </c>
      <c r="I468" s="15">
        <f>IF(H468&gt;0,HLOOKUP(R468/100,数值规划表!$B$37:$AA$39,3),1)</f>
        <v>2.8</v>
      </c>
      <c r="J468" s="31" t="s">
        <v>1625</v>
      </c>
      <c r="K468" s="15">
        <f>INDEX(数值规划表!$B$15:$B$18,MATCH(J468,攻击范围,0))</f>
        <v>1</v>
      </c>
      <c r="L468" s="70">
        <v>0.85</v>
      </c>
      <c r="M468" s="41">
        <v>0</v>
      </c>
      <c r="N468" s="15">
        <f t="shared" si="26"/>
        <v>368</v>
      </c>
      <c r="O468" s="15">
        <f t="shared" si="27"/>
        <v>11.04</v>
      </c>
      <c r="P468" s="15">
        <f>IF(G468,INDEX(monster!$J$2:$J$606,MATCH(skill!C468,monster!$A$2:$A$606,0)),Q468)</f>
        <v>1.2</v>
      </c>
      <c r="Q468" s="70"/>
      <c r="R468" s="33">
        <v>200</v>
      </c>
    </row>
    <row r="469" spans="1:18" s="38" customFormat="1" x14ac:dyDescent="0.15">
      <c r="A469" s="32">
        <v>10490</v>
      </c>
      <c r="B469" s="32" t="s">
        <v>895</v>
      </c>
      <c r="C469" s="31">
        <v>1189</v>
      </c>
      <c r="D469" s="32">
        <v>5</v>
      </c>
      <c r="E469" s="15">
        <f>INDEX(monster!$H$2:$H$617,MATCH(skill!C469,monster!$A$2:$A$617,0))</f>
        <v>173.31</v>
      </c>
      <c r="F469" s="15">
        <f>INDEX(monster!$I$2:$I$617,MATCH(C469,monster!$A$2:$A$617,0))</f>
        <v>5.2</v>
      </c>
      <c r="G469" s="15" t="b">
        <f t="shared" si="25"/>
        <v>1</v>
      </c>
      <c r="H469" s="31">
        <v>1</v>
      </c>
      <c r="I469" s="15">
        <f>IF(H469&gt;0,HLOOKUP(R469/100,数值规划表!$B$37:$AA$39,3),1)</f>
        <v>2.8</v>
      </c>
      <c r="J469" s="31" t="s">
        <v>1625</v>
      </c>
      <c r="K469" s="15">
        <f>INDEX(数值规划表!$B$15:$B$18,MATCH(J469,攻击范围,0))</f>
        <v>1</v>
      </c>
      <c r="L469" s="70">
        <v>0.85</v>
      </c>
      <c r="M469" s="41">
        <v>0</v>
      </c>
      <c r="N469" s="15">
        <f t="shared" si="26"/>
        <v>412</v>
      </c>
      <c r="O469" s="15">
        <f t="shared" si="27"/>
        <v>12.38</v>
      </c>
      <c r="P469" s="15">
        <f>IF(G469,INDEX(monster!$J$2:$J$606,MATCH(skill!C469,monster!$A$2:$A$606,0)),Q469)</f>
        <v>1.2</v>
      </c>
      <c r="Q469" s="70"/>
      <c r="R469" s="33">
        <v>200</v>
      </c>
    </row>
    <row r="470" spans="1:18" s="38" customFormat="1" x14ac:dyDescent="0.15">
      <c r="A470" s="32">
        <v>10491</v>
      </c>
      <c r="B470" s="32" t="s">
        <v>896</v>
      </c>
      <c r="C470" s="31">
        <v>1190</v>
      </c>
      <c r="D470" s="32">
        <v>6</v>
      </c>
      <c r="E470" s="15">
        <f>INDEX(monster!$H$2:$H$617,MATCH(skill!C470,monster!$A$2:$A$617,0))</f>
        <v>194.11</v>
      </c>
      <c r="F470" s="15">
        <f>INDEX(monster!$I$2:$I$617,MATCH(C470,monster!$A$2:$A$617,0))</f>
        <v>5.82</v>
      </c>
      <c r="G470" s="15" t="b">
        <f t="shared" si="25"/>
        <v>1</v>
      </c>
      <c r="H470" s="31">
        <v>1</v>
      </c>
      <c r="I470" s="15">
        <f>IF(H470&gt;0,HLOOKUP(R470/100,数值规划表!$B$37:$AA$39,3),1)</f>
        <v>2.8</v>
      </c>
      <c r="J470" s="31" t="s">
        <v>1625</v>
      </c>
      <c r="K470" s="15">
        <f>INDEX(数值规划表!$B$15:$B$18,MATCH(J470,攻击范围,0))</f>
        <v>1</v>
      </c>
      <c r="L470" s="70">
        <v>0.85</v>
      </c>
      <c r="M470" s="41">
        <v>0</v>
      </c>
      <c r="N470" s="15">
        <f t="shared" si="26"/>
        <v>462</v>
      </c>
      <c r="O470" s="15">
        <f t="shared" si="27"/>
        <v>13.85</v>
      </c>
      <c r="P470" s="15">
        <f>IF(G470,INDEX(monster!$J$2:$J$606,MATCH(skill!C470,monster!$A$2:$A$606,0)),Q470)</f>
        <v>1.2</v>
      </c>
      <c r="Q470" s="70"/>
      <c r="R470" s="33">
        <v>200</v>
      </c>
    </row>
    <row r="471" spans="1:18" s="38" customFormat="1" x14ac:dyDescent="0.15">
      <c r="A471" s="32">
        <v>10492</v>
      </c>
      <c r="B471" s="32" t="s">
        <v>897</v>
      </c>
      <c r="C471" s="31">
        <v>1191</v>
      </c>
      <c r="D471" s="32">
        <v>7</v>
      </c>
      <c r="E471" s="15">
        <f>INDEX(monster!$H$2:$H$617,MATCH(skill!C471,monster!$A$2:$A$617,0))</f>
        <v>217.4</v>
      </c>
      <c r="F471" s="15">
        <f>INDEX(monster!$I$2:$I$617,MATCH(C471,monster!$A$2:$A$617,0))</f>
        <v>6.52</v>
      </c>
      <c r="G471" s="15" t="b">
        <f t="shared" si="25"/>
        <v>1</v>
      </c>
      <c r="H471" s="31">
        <v>1</v>
      </c>
      <c r="I471" s="15">
        <f>IF(H471&gt;0,HLOOKUP(R471/100,数值规划表!$B$37:$AA$39,3),1)</f>
        <v>2.8</v>
      </c>
      <c r="J471" s="31" t="s">
        <v>1625</v>
      </c>
      <c r="K471" s="15">
        <f>INDEX(数值规划表!$B$15:$B$18,MATCH(J471,攻击范围,0))</f>
        <v>1</v>
      </c>
      <c r="L471" s="70">
        <v>0.85</v>
      </c>
      <c r="M471" s="41">
        <v>0</v>
      </c>
      <c r="N471" s="15">
        <f t="shared" si="26"/>
        <v>517</v>
      </c>
      <c r="O471" s="15">
        <f t="shared" si="27"/>
        <v>15.52</v>
      </c>
      <c r="P471" s="15">
        <f>IF(G471,INDEX(monster!$J$2:$J$606,MATCH(skill!C471,monster!$A$2:$A$606,0)),Q471)</f>
        <v>1.2</v>
      </c>
      <c r="Q471" s="70"/>
      <c r="R471" s="33">
        <v>200</v>
      </c>
    </row>
    <row r="472" spans="1:18" s="38" customFormat="1" x14ac:dyDescent="0.15">
      <c r="A472" s="32">
        <v>10493</v>
      </c>
      <c r="B472" s="32" t="s">
        <v>898</v>
      </c>
      <c r="C472" s="31">
        <v>1192</v>
      </c>
      <c r="D472" s="32">
        <v>8</v>
      </c>
      <c r="E472" s="15">
        <f>INDEX(monster!$H$2:$H$617,MATCH(skill!C472,monster!$A$2:$A$617,0))</f>
        <v>243.49</v>
      </c>
      <c r="F472" s="15">
        <f>INDEX(monster!$I$2:$I$617,MATCH(C472,monster!$A$2:$A$617,0))</f>
        <v>7.3</v>
      </c>
      <c r="G472" s="15" t="b">
        <f t="shared" si="25"/>
        <v>1</v>
      </c>
      <c r="H472" s="31">
        <v>1</v>
      </c>
      <c r="I472" s="15">
        <f>IF(H472&gt;0,HLOOKUP(R472/100,数值规划表!$B$37:$AA$39,3),1)</f>
        <v>2.8</v>
      </c>
      <c r="J472" s="31" t="s">
        <v>1625</v>
      </c>
      <c r="K472" s="15">
        <f>INDEX(数值规划表!$B$15:$B$18,MATCH(J472,攻击范围,0))</f>
        <v>1</v>
      </c>
      <c r="L472" s="70">
        <v>0.85</v>
      </c>
      <c r="M472" s="41">
        <v>0</v>
      </c>
      <c r="N472" s="15">
        <f t="shared" si="26"/>
        <v>580</v>
      </c>
      <c r="O472" s="15">
        <f t="shared" si="27"/>
        <v>17.37</v>
      </c>
      <c r="P472" s="15">
        <f>IF(G472,INDEX(monster!$J$2:$J$606,MATCH(skill!C472,monster!$A$2:$A$606,0)),Q472)</f>
        <v>1.2</v>
      </c>
      <c r="Q472" s="70"/>
      <c r="R472" s="33">
        <v>200</v>
      </c>
    </row>
    <row r="473" spans="1:18" s="38" customFormat="1" x14ac:dyDescent="0.15">
      <c r="A473" s="32">
        <v>10494</v>
      </c>
      <c r="B473" s="32" t="s">
        <v>899</v>
      </c>
      <c r="C473" s="31">
        <v>1193</v>
      </c>
      <c r="D473" s="32">
        <v>9</v>
      </c>
      <c r="E473" s="15">
        <f>INDEX(monster!$H$2:$H$617,MATCH(skill!C473,monster!$A$2:$A$617,0))</f>
        <v>272.7</v>
      </c>
      <c r="F473" s="15">
        <f>INDEX(monster!$I$2:$I$617,MATCH(C473,monster!$A$2:$A$617,0))</f>
        <v>8.18</v>
      </c>
      <c r="G473" s="15" t="b">
        <f t="shared" si="25"/>
        <v>1</v>
      </c>
      <c r="H473" s="31">
        <v>1</v>
      </c>
      <c r="I473" s="15">
        <f>IF(H473&gt;0,HLOOKUP(R473/100,数值规划表!$B$37:$AA$39,3),1)</f>
        <v>2.8</v>
      </c>
      <c r="J473" s="31" t="s">
        <v>1625</v>
      </c>
      <c r="K473" s="15">
        <f>INDEX(数值规划表!$B$15:$B$18,MATCH(J473,攻击范围,0))</f>
        <v>1</v>
      </c>
      <c r="L473" s="70">
        <v>0.85</v>
      </c>
      <c r="M473" s="41">
        <v>0</v>
      </c>
      <c r="N473" s="15">
        <f t="shared" si="26"/>
        <v>649</v>
      </c>
      <c r="O473" s="15">
        <f t="shared" si="27"/>
        <v>19.47</v>
      </c>
      <c r="P473" s="15">
        <f>IF(G473,INDEX(monster!$J$2:$J$606,MATCH(skill!C473,monster!$A$2:$A$606,0)),Q473)</f>
        <v>1.2</v>
      </c>
      <c r="Q473" s="70"/>
      <c r="R473" s="33">
        <v>200</v>
      </c>
    </row>
    <row r="474" spans="1:18" s="38" customFormat="1" x14ac:dyDescent="0.15">
      <c r="A474" s="32">
        <v>10495</v>
      </c>
      <c r="B474" s="32" t="s">
        <v>900</v>
      </c>
      <c r="C474" s="31">
        <v>1194</v>
      </c>
      <c r="D474" s="32">
        <v>10</v>
      </c>
      <c r="E474" s="15">
        <f>INDEX(monster!$H$2:$H$617,MATCH(skill!C474,monster!$A$2:$A$617,0))</f>
        <v>305.43</v>
      </c>
      <c r="F474" s="15">
        <f>INDEX(monster!$I$2:$I$617,MATCH(C474,monster!$A$2:$A$617,0))</f>
        <v>9.16</v>
      </c>
      <c r="G474" s="15" t="b">
        <f t="shared" si="25"/>
        <v>1</v>
      </c>
      <c r="H474" s="31">
        <v>1</v>
      </c>
      <c r="I474" s="15">
        <f>IF(H474&gt;0,HLOOKUP(R474/100,数值规划表!$B$37:$AA$39,3),1)</f>
        <v>2.8</v>
      </c>
      <c r="J474" s="31" t="s">
        <v>1625</v>
      </c>
      <c r="K474" s="15">
        <f>INDEX(数值规划表!$B$15:$B$18,MATCH(J474,攻击范围,0))</f>
        <v>1</v>
      </c>
      <c r="L474" s="70">
        <v>0.85</v>
      </c>
      <c r="M474" s="41">
        <v>0</v>
      </c>
      <c r="N474" s="15">
        <f t="shared" si="26"/>
        <v>727</v>
      </c>
      <c r="O474" s="15">
        <f t="shared" si="27"/>
        <v>21.8</v>
      </c>
      <c r="P474" s="15">
        <f>IF(G474,INDEX(monster!$J$2:$J$606,MATCH(skill!C474,monster!$A$2:$A$606,0)),Q474)</f>
        <v>1.2</v>
      </c>
      <c r="Q474" s="70"/>
      <c r="R474" s="33">
        <v>200</v>
      </c>
    </row>
    <row r="475" spans="1:18" s="38" customFormat="1" x14ac:dyDescent="0.15">
      <c r="A475" s="32">
        <v>10496</v>
      </c>
      <c r="B475" s="32" t="s">
        <v>2873</v>
      </c>
      <c r="C475" s="32">
        <v>1294</v>
      </c>
      <c r="D475" s="32">
        <v>0</v>
      </c>
      <c r="E475" s="15">
        <f>INDEX(monster!$H$2:$H$617,MATCH(skill!C475,monster!$A$2:$A$617,0))</f>
        <v>64.22</v>
      </c>
      <c r="F475" s="15">
        <f>INDEX(monster!$I$2:$I$617,MATCH(C475,monster!$A$2:$A$617,0))</f>
        <v>1.93</v>
      </c>
      <c r="G475" s="15" t="b">
        <f t="shared" si="25"/>
        <v>1</v>
      </c>
      <c r="H475" s="32">
        <v>1</v>
      </c>
      <c r="I475" s="15">
        <f>IF(H475&gt;0,HLOOKUP(R475/100,数值规划表!$B$37:$AA$39,3),1)</f>
        <v>1.296</v>
      </c>
      <c r="J475" s="31" t="s">
        <v>1625</v>
      </c>
      <c r="K475" s="15">
        <f>INDEX(数值规划表!$B$15:$B$18,MATCH(J475,攻击范围,0))</f>
        <v>1</v>
      </c>
      <c r="L475" s="30">
        <v>0.8</v>
      </c>
      <c r="M475" s="41">
        <v>0</v>
      </c>
      <c r="N475" s="15">
        <f t="shared" si="26"/>
        <v>67</v>
      </c>
      <c r="O475" s="15">
        <f t="shared" si="27"/>
        <v>2</v>
      </c>
      <c r="P475" s="15">
        <f>IF(G475,INDEX(monster!$J$2:$J$606,MATCH(skill!C475,monster!$A$2:$A$606,0)),Q475)</f>
        <v>6</v>
      </c>
      <c r="Q475" s="70"/>
      <c r="R475" s="33">
        <v>120</v>
      </c>
    </row>
    <row r="476" spans="1:18" s="38" customFormat="1" x14ac:dyDescent="0.15">
      <c r="A476" s="32">
        <v>10497</v>
      </c>
      <c r="B476" s="32" t="s">
        <v>2874</v>
      </c>
      <c r="C476" s="32">
        <v>1295</v>
      </c>
      <c r="D476" s="32">
        <v>1</v>
      </c>
      <c r="E476" s="15">
        <f>INDEX(monster!$H$2:$H$617,MATCH(skill!C476,monster!$A$2:$A$617,0))</f>
        <v>71.930000000000007</v>
      </c>
      <c r="F476" s="15">
        <f>INDEX(monster!$I$2:$I$617,MATCH(C476,monster!$A$2:$A$617,0))</f>
        <v>2.16</v>
      </c>
      <c r="G476" s="15" t="b">
        <f t="shared" si="25"/>
        <v>1</v>
      </c>
      <c r="H476" s="32">
        <v>1</v>
      </c>
      <c r="I476" s="15">
        <f>IF(H476&gt;0,HLOOKUP(R476/100,数值规划表!$B$37:$AA$39,3),1)</f>
        <v>1.296</v>
      </c>
      <c r="J476" s="31" t="s">
        <v>1625</v>
      </c>
      <c r="K476" s="15">
        <f>INDEX(数值规划表!$B$15:$B$18,MATCH(J476,攻击范围,0))</f>
        <v>1</v>
      </c>
      <c r="L476" s="70">
        <v>0.8</v>
      </c>
      <c r="M476" s="41">
        <v>0</v>
      </c>
      <c r="N476" s="15">
        <f t="shared" si="26"/>
        <v>75</v>
      </c>
      <c r="O476" s="15">
        <f t="shared" si="27"/>
        <v>2.2400000000000002</v>
      </c>
      <c r="P476" s="15">
        <f>IF(G476,INDEX(monster!$J$2:$J$606,MATCH(skill!C476,monster!$A$2:$A$606,0)),Q476)</f>
        <v>6</v>
      </c>
      <c r="Q476" s="70"/>
      <c r="R476" s="33">
        <v>120</v>
      </c>
    </row>
    <row r="477" spans="1:18" s="38" customFormat="1" x14ac:dyDescent="0.15">
      <c r="A477" s="32">
        <v>10498</v>
      </c>
      <c r="B477" s="32" t="s">
        <v>901</v>
      </c>
      <c r="C477" s="32">
        <v>1296</v>
      </c>
      <c r="D477" s="32">
        <v>2</v>
      </c>
      <c r="E477" s="15">
        <f>INDEX(monster!$H$2:$H$617,MATCH(skill!C477,monster!$A$2:$A$617,0))</f>
        <v>80.56</v>
      </c>
      <c r="F477" s="15">
        <f>INDEX(monster!$I$2:$I$617,MATCH(C477,monster!$A$2:$A$617,0))</f>
        <v>2.42</v>
      </c>
      <c r="G477" s="15" t="b">
        <f t="shared" si="25"/>
        <v>1</v>
      </c>
      <c r="H477" s="32">
        <v>1</v>
      </c>
      <c r="I477" s="15">
        <f>IF(H477&gt;0,HLOOKUP(R477/100,数值规划表!$B$37:$AA$39,3),1)</f>
        <v>1.296</v>
      </c>
      <c r="J477" s="31" t="s">
        <v>1625</v>
      </c>
      <c r="K477" s="15">
        <f>INDEX(数值规划表!$B$15:$B$18,MATCH(J477,攻击范围,0))</f>
        <v>1</v>
      </c>
      <c r="L477" s="70">
        <v>0.8</v>
      </c>
      <c r="M477" s="41">
        <v>0</v>
      </c>
      <c r="N477" s="15">
        <f t="shared" si="26"/>
        <v>84</v>
      </c>
      <c r="O477" s="15">
        <f t="shared" si="27"/>
        <v>2.5099999999999998</v>
      </c>
      <c r="P477" s="15">
        <f>IF(G477,INDEX(monster!$J$2:$J$606,MATCH(skill!C477,monster!$A$2:$A$606,0)),Q477)</f>
        <v>6</v>
      </c>
      <c r="Q477" s="70"/>
      <c r="R477" s="33">
        <v>120</v>
      </c>
    </row>
    <row r="478" spans="1:18" s="38" customFormat="1" x14ac:dyDescent="0.15">
      <c r="A478" s="32">
        <v>10499</v>
      </c>
      <c r="B478" s="32" t="s">
        <v>902</v>
      </c>
      <c r="C478" s="32">
        <v>1297</v>
      </c>
      <c r="D478" s="32">
        <v>3</v>
      </c>
      <c r="E478" s="15">
        <f>INDEX(monster!$H$2:$H$617,MATCH(skill!C478,monster!$A$2:$A$617,0))</f>
        <v>90.22</v>
      </c>
      <c r="F478" s="15">
        <f>INDEX(monster!$I$2:$I$617,MATCH(C478,monster!$A$2:$A$617,0))</f>
        <v>2.71</v>
      </c>
      <c r="G478" s="15" t="b">
        <f t="shared" si="25"/>
        <v>1</v>
      </c>
      <c r="H478" s="32">
        <v>1</v>
      </c>
      <c r="I478" s="15">
        <f>IF(H478&gt;0,HLOOKUP(R478/100,数值规划表!$B$37:$AA$39,3),1)</f>
        <v>1.296</v>
      </c>
      <c r="J478" s="31" t="s">
        <v>1625</v>
      </c>
      <c r="K478" s="15">
        <f>INDEX(数值规划表!$B$15:$B$18,MATCH(J478,攻击范围,0))</f>
        <v>1</v>
      </c>
      <c r="L478" s="70">
        <v>0.8</v>
      </c>
      <c r="M478" s="41">
        <v>0</v>
      </c>
      <c r="N478" s="15">
        <f t="shared" si="26"/>
        <v>94</v>
      </c>
      <c r="O478" s="15">
        <f t="shared" si="27"/>
        <v>2.81</v>
      </c>
      <c r="P478" s="15">
        <f>IF(G478,INDEX(monster!$J$2:$J$606,MATCH(skill!C478,monster!$A$2:$A$606,0)),Q478)</f>
        <v>6</v>
      </c>
      <c r="Q478" s="70"/>
      <c r="R478" s="33">
        <v>120</v>
      </c>
    </row>
    <row r="479" spans="1:18" s="38" customFormat="1" x14ac:dyDescent="0.15">
      <c r="A479" s="32">
        <v>10500</v>
      </c>
      <c r="B479" s="32" t="s">
        <v>903</v>
      </c>
      <c r="C479" s="32">
        <v>1298</v>
      </c>
      <c r="D479" s="32">
        <v>4</v>
      </c>
      <c r="E479" s="15">
        <f>INDEX(monster!$H$2:$H$617,MATCH(skill!C479,monster!$A$2:$A$617,0))</f>
        <v>101.05</v>
      </c>
      <c r="F479" s="15">
        <f>INDEX(monster!$I$2:$I$617,MATCH(C479,monster!$A$2:$A$617,0))</f>
        <v>3.03</v>
      </c>
      <c r="G479" s="15" t="b">
        <f t="shared" si="25"/>
        <v>1</v>
      </c>
      <c r="H479" s="32">
        <v>1</v>
      </c>
      <c r="I479" s="15">
        <f>IF(H479&gt;0,HLOOKUP(R479/100,数值规划表!$B$37:$AA$39,3),1)</f>
        <v>1.296</v>
      </c>
      <c r="J479" s="31" t="s">
        <v>1625</v>
      </c>
      <c r="K479" s="15">
        <f>INDEX(数值规划表!$B$15:$B$18,MATCH(J479,攻击范围,0))</f>
        <v>1</v>
      </c>
      <c r="L479" s="70">
        <v>0.8</v>
      </c>
      <c r="M479" s="41">
        <v>0</v>
      </c>
      <c r="N479" s="15">
        <f t="shared" si="26"/>
        <v>105</v>
      </c>
      <c r="O479" s="15">
        <f t="shared" si="27"/>
        <v>3.14</v>
      </c>
      <c r="P479" s="15">
        <f>IF(G479,INDEX(monster!$J$2:$J$606,MATCH(skill!C479,monster!$A$2:$A$606,0)),Q479)</f>
        <v>6</v>
      </c>
      <c r="Q479" s="70"/>
      <c r="R479" s="33">
        <v>120</v>
      </c>
    </row>
    <row r="480" spans="1:18" s="38" customFormat="1" x14ac:dyDescent="0.15">
      <c r="A480" s="32">
        <v>10501</v>
      </c>
      <c r="B480" s="32" t="s">
        <v>904</v>
      </c>
      <c r="C480" s="32">
        <v>1299</v>
      </c>
      <c r="D480" s="32">
        <v>5</v>
      </c>
      <c r="E480" s="15">
        <f>INDEX(monster!$H$2:$H$617,MATCH(skill!C480,monster!$A$2:$A$617,0))</f>
        <v>113.18</v>
      </c>
      <c r="F480" s="15">
        <f>INDEX(monster!$I$2:$I$617,MATCH(C480,monster!$A$2:$A$617,0))</f>
        <v>3.4</v>
      </c>
      <c r="G480" s="15" t="b">
        <f t="shared" si="25"/>
        <v>1</v>
      </c>
      <c r="H480" s="32">
        <v>1</v>
      </c>
      <c r="I480" s="15">
        <f>IF(H480&gt;0,HLOOKUP(R480/100,数值规划表!$B$37:$AA$39,3),1)</f>
        <v>1.296</v>
      </c>
      <c r="J480" s="31" t="s">
        <v>1625</v>
      </c>
      <c r="K480" s="15">
        <f>INDEX(数值规划表!$B$15:$B$18,MATCH(J480,攻击范围,0))</f>
        <v>1</v>
      </c>
      <c r="L480" s="70">
        <v>0.8</v>
      </c>
      <c r="M480" s="41">
        <v>0</v>
      </c>
      <c r="N480" s="15">
        <f t="shared" si="26"/>
        <v>117</v>
      </c>
      <c r="O480" s="15">
        <f t="shared" si="27"/>
        <v>3.53</v>
      </c>
      <c r="P480" s="15">
        <f>IF(G480,INDEX(monster!$J$2:$J$606,MATCH(skill!C480,monster!$A$2:$A$606,0)),Q480)</f>
        <v>6</v>
      </c>
      <c r="Q480" s="70"/>
      <c r="R480" s="33">
        <v>120</v>
      </c>
    </row>
    <row r="481" spans="1:18" s="38" customFormat="1" x14ac:dyDescent="0.15">
      <c r="A481" s="32">
        <v>10502</v>
      </c>
      <c r="B481" s="32" t="s">
        <v>905</v>
      </c>
      <c r="C481" s="32">
        <v>1300</v>
      </c>
      <c r="D481" s="32">
        <v>6</v>
      </c>
      <c r="E481" s="15">
        <f>INDEX(monster!$H$2:$H$617,MATCH(skill!C481,monster!$A$2:$A$617,0))</f>
        <v>126.76</v>
      </c>
      <c r="F481" s="15">
        <f>INDEX(monster!$I$2:$I$617,MATCH(C481,monster!$A$2:$A$617,0))</f>
        <v>3.8</v>
      </c>
      <c r="G481" s="15" t="b">
        <f t="shared" si="25"/>
        <v>1</v>
      </c>
      <c r="H481" s="32">
        <v>1</v>
      </c>
      <c r="I481" s="15">
        <f>IF(H481&gt;0,HLOOKUP(R481/100,数值规划表!$B$37:$AA$39,3),1)</f>
        <v>1.296</v>
      </c>
      <c r="J481" s="31" t="s">
        <v>1625</v>
      </c>
      <c r="K481" s="15">
        <f>INDEX(数值规划表!$B$15:$B$18,MATCH(J481,攻击范围,0))</f>
        <v>1</v>
      </c>
      <c r="L481" s="70">
        <v>0.8</v>
      </c>
      <c r="M481" s="41">
        <v>0</v>
      </c>
      <c r="N481" s="15">
        <f t="shared" si="26"/>
        <v>131</v>
      </c>
      <c r="O481" s="15">
        <f t="shared" si="27"/>
        <v>3.94</v>
      </c>
      <c r="P481" s="15">
        <f>IF(G481,INDEX(monster!$J$2:$J$606,MATCH(skill!C481,monster!$A$2:$A$606,0)),Q481)</f>
        <v>6</v>
      </c>
      <c r="Q481" s="70"/>
      <c r="R481" s="33">
        <v>120</v>
      </c>
    </row>
    <row r="482" spans="1:18" s="38" customFormat="1" x14ac:dyDescent="0.15">
      <c r="A482" s="32">
        <v>10503</v>
      </c>
      <c r="B482" s="32" t="s">
        <v>906</v>
      </c>
      <c r="C482" s="32">
        <v>1301</v>
      </c>
      <c r="D482" s="32">
        <v>7</v>
      </c>
      <c r="E482" s="15">
        <f>INDEX(monster!$H$2:$H$617,MATCH(skill!C482,monster!$A$2:$A$617,0))</f>
        <v>141.97</v>
      </c>
      <c r="F482" s="15">
        <f>INDEX(monster!$I$2:$I$617,MATCH(C482,monster!$A$2:$A$617,0))</f>
        <v>4.26</v>
      </c>
      <c r="G482" s="15" t="b">
        <f t="shared" si="25"/>
        <v>1</v>
      </c>
      <c r="H482" s="32">
        <v>1</v>
      </c>
      <c r="I482" s="15">
        <f>IF(H482&gt;0,HLOOKUP(R482/100,数值规划表!$B$37:$AA$39,3),1)</f>
        <v>1.296</v>
      </c>
      <c r="J482" s="31" t="s">
        <v>1625</v>
      </c>
      <c r="K482" s="15">
        <f>INDEX(数值规划表!$B$15:$B$18,MATCH(J482,攻击范围,0))</f>
        <v>1</v>
      </c>
      <c r="L482" s="70">
        <v>0.8</v>
      </c>
      <c r="M482" s="41">
        <v>0</v>
      </c>
      <c r="N482" s="15">
        <f t="shared" si="26"/>
        <v>147</v>
      </c>
      <c r="O482" s="15">
        <f t="shared" si="27"/>
        <v>4.42</v>
      </c>
      <c r="P482" s="15">
        <f>IF(G482,INDEX(monster!$J$2:$J$606,MATCH(skill!C482,monster!$A$2:$A$606,0)),Q482)</f>
        <v>6</v>
      </c>
      <c r="Q482" s="70"/>
      <c r="R482" s="33">
        <v>120</v>
      </c>
    </row>
    <row r="483" spans="1:18" s="38" customFormat="1" x14ac:dyDescent="0.15">
      <c r="A483" s="32">
        <v>10504</v>
      </c>
      <c r="B483" s="32" t="s">
        <v>907</v>
      </c>
      <c r="C483" s="32">
        <v>1302</v>
      </c>
      <c r="D483" s="32">
        <v>8</v>
      </c>
      <c r="E483" s="15">
        <f>INDEX(monster!$H$2:$H$617,MATCH(skill!C483,monster!$A$2:$A$617,0))</f>
        <v>159.01</v>
      </c>
      <c r="F483" s="15">
        <f>INDEX(monster!$I$2:$I$617,MATCH(C483,monster!$A$2:$A$617,0))</f>
        <v>4.7699999999999996</v>
      </c>
      <c r="G483" s="15" t="b">
        <f t="shared" si="25"/>
        <v>1</v>
      </c>
      <c r="H483" s="32">
        <v>1</v>
      </c>
      <c r="I483" s="15">
        <f>IF(H483&gt;0,HLOOKUP(R483/100,数值规划表!$B$37:$AA$39,3),1)</f>
        <v>1.296</v>
      </c>
      <c r="J483" s="31" t="s">
        <v>1625</v>
      </c>
      <c r="K483" s="15">
        <f>INDEX(数值规划表!$B$15:$B$18,MATCH(J483,攻击范围,0))</f>
        <v>1</v>
      </c>
      <c r="L483" s="70">
        <v>0.8</v>
      </c>
      <c r="M483" s="41">
        <v>0</v>
      </c>
      <c r="N483" s="15">
        <f t="shared" si="26"/>
        <v>165</v>
      </c>
      <c r="O483" s="15">
        <f t="shared" si="27"/>
        <v>4.95</v>
      </c>
      <c r="P483" s="15">
        <f>IF(G483,INDEX(monster!$J$2:$J$606,MATCH(skill!C483,monster!$A$2:$A$606,0)),Q483)</f>
        <v>6</v>
      </c>
      <c r="Q483" s="70"/>
      <c r="R483" s="33">
        <v>120</v>
      </c>
    </row>
    <row r="484" spans="1:18" s="38" customFormat="1" x14ac:dyDescent="0.15">
      <c r="A484" s="32">
        <v>10505</v>
      </c>
      <c r="B484" s="32" t="s">
        <v>908</v>
      </c>
      <c r="C484" s="32">
        <v>1303</v>
      </c>
      <c r="D484" s="32">
        <v>9</v>
      </c>
      <c r="E484" s="15">
        <f>INDEX(monster!$H$2:$H$617,MATCH(skill!C484,monster!$A$2:$A$617,0))</f>
        <v>178.09</v>
      </c>
      <c r="F484" s="15">
        <f>INDEX(monster!$I$2:$I$617,MATCH(C484,monster!$A$2:$A$617,0))</f>
        <v>5.34</v>
      </c>
      <c r="G484" s="15" t="b">
        <f t="shared" si="25"/>
        <v>1</v>
      </c>
      <c r="H484" s="32">
        <v>1</v>
      </c>
      <c r="I484" s="15">
        <f>IF(H484&gt;0,HLOOKUP(R484/100,数值规划表!$B$37:$AA$39,3),1)</f>
        <v>1.296</v>
      </c>
      <c r="J484" s="31" t="s">
        <v>1625</v>
      </c>
      <c r="K484" s="15">
        <f>INDEX(数值规划表!$B$15:$B$18,MATCH(J484,攻击范围,0))</f>
        <v>1</v>
      </c>
      <c r="L484" s="70">
        <v>0.8</v>
      </c>
      <c r="M484" s="41">
        <v>0</v>
      </c>
      <c r="N484" s="15">
        <f t="shared" si="26"/>
        <v>185</v>
      </c>
      <c r="O484" s="15">
        <f t="shared" si="27"/>
        <v>5.54</v>
      </c>
      <c r="P484" s="15">
        <f>IF(G484,INDEX(monster!$J$2:$J$606,MATCH(skill!C484,monster!$A$2:$A$606,0)),Q484)</f>
        <v>6</v>
      </c>
      <c r="Q484" s="70"/>
      <c r="R484" s="33">
        <v>120</v>
      </c>
    </row>
    <row r="485" spans="1:18" s="38" customFormat="1" x14ac:dyDescent="0.15">
      <c r="A485" s="32">
        <v>10506</v>
      </c>
      <c r="B485" s="32" t="s">
        <v>909</v>
      </c>
      <c r="C485" s="32">
        <v>1304</v>
      </c>
      <c r="D485" s="32">
        <v>10</v>
      </c>
      <c r="E485" s="15">
        <f>INDEX(monster!$H$2:$H$617,MATCH(skill!C485,monster!$A$2:$A$617,0))</f>
        <v>199.46</v>
      </c>
      <c r="F485" s="15">
        <f>INDEX(monster!$I$2:$I$617,MATCH(C485,monster!$A$2:$A$617,0))</f>
        <v>5.98</v>
      </c>
      <c r="G485" s="15" t="b">
        <f t="shared" si="25"/>
        <v>1</v>
      </c>
      <c r="H485" s="32">
        <v>1</v>
      </c>
      <c r="I485" s="15">
        <f>IF(H485&gt;0,HLOOKUP(R485/100,数值规划表!$B$37:$AA$39,3),1)</f>
        <v>1.296</v>
      </c>
      <c r="J485" s="31" t="s">
        <v>1625</v>
      </c>
      <c r="K485" s="15">
        <f>INDEX(数值规划表!$B$15:$B$18,MATCH(J485,攻击范围,0))</f>
        <v>1</v>
      </c>
      <c r="L485" s="70">
        <v>0.8</v>
      </c>
      <c r="M485" s="41">
        <v>0</v>
      </c>
      <c r="N485" s="15">
        <f t="shared" si="26"/>
        <v>207</v>
      </c>
      <c r="O485" s="15">
        <f t="shared" si="27"/>
        <v>6.2</v>
      </c>
      <c r="P485" s="15">
        <f>IF(G485,INDEX(monster!$J$2:$J$606,MATCH(skill!C485,monster!$A$2:$A$606,0)),Q485)</f>
        <v>6</v>
      </c>
      <c r="Q485" s="70"/>
      <c r="R485" s="33">
        <v>120</v>
      </c>
    </row>
    <row r="486" spans="1:18" s="38" customFormat="1" x14ac:dyDescent="0.15">
      <c r="A486" s="32">
        <v>10507</v>
      </c>
      <c r="B486" s="32" t="s">
        <v>1502</v>
      </c>
      <c r="C486" s="32">
        <v>1294</v>
      </c>
      <c r="D486" s="32">
        <v>0</v>
      </c>
      <c r="E486" s="15">
        <f>INDEX(数值规划表!$G$79:$G$89,$D486+1)</f>
        <v>310</v>
      </c>
      <c r="F486" s="15">
        <f>INDEX(数值规划表!$H$79:$H$89,$D486+1)</f>
        <v>9.2899999999999991</v>
      </c>
      <c r="G486" s="15" t="b">
        <f t="shared" si="25"/>
        <v>0</v>
      </c>
      <c r="H486" s="32">
        <v>0</v>
      </c>
      <c r="I486" s="15">
        <f>IF(H486&gt;0,HLOOKUP(R486/100,数值规划表!$B$37:$AA$39,3),1)</f>
        <v>1</v>
      </c>
      <c r="J486" s="31" t="s">
        <v>1625</v>
      </c>
      <c r="K486" s="15">
        <f>INDEX(数值规划表!$B$15:$B$18,MATCH(J486,攻击范围,0))</f>
        <v>1</v>
      </c>
      <c r="L486" s="30">
        <v>0.6</v>
      </c>
      <c r="M486" s="41">
        <v>0</v>
      </c>
      <c r="N486" s="15">
        <f t="shared" si="26"/>
        <v>186</v>
      </c>
      <c r="O486" s="15">
        <f t="shared" si="27"/>
        <v>5.57</v>
      </c>
      <c r="P486" s="15">
        <f>IF(G486,INDEX(monster!$J$2:$J$606,MATCH(skill!C486,monster!$A$2:$A$606,0)),Q486)</f>
        <v>8</v>
      </c>
      <c r="Q486" s="70">
        <v>8</v>
      </c>
      <c r="R486" s="33">
        <v>1500</v>
      </c>
    </row>
    <row r="487" spans="1:18" s="38" customFormat="1" x14ac:dyDescent="0.15">
      <c r="A487" s="32">
        <v>10508</v>
      </c>
      <c r="B487" s="32" t="s">
        <v>1503</v>
      </c>
      <c r="C487" s="32">
        <v>1295</v>
      </c>
      <c r="D487" s="32">
        <v>1</v>
      </c>
      <c r="E487" s="15">
        <f>INDEX(数值规划表!$G$79:$G$89,$D487+1)</f>
        <v>347</v>
      </c>
      <c r="F487" s="15">
        <f>INDEX(数值规划表!$H$79:$H$89,$D487+1)</f>
        <v>10.4</v>
      </c>
      <c r="G487" s="15" t="b">
        <f t="shared" si="25"/>
        <v>0</v>
      </c>
      <c r="H487" s="32">
        <v>0</v>
      </c>
      <c r="I487" s="15">
        <f>IF(H487&gt;0,HLOOKUP(R487/100,数值规划表!$B$37:$AA$39,3),1)</f>
        <v>1</v>
      </c>
      <c r="J487" s="31" t="s">
        <v>1625</v>
      </c>
      <c r="K487" s="15">
        <f>INDEX(数值规划表!$B$15:$B$18,MATCH(J487,攻击范围,0))</f>
        <v>1</v>
      </c>
      <c r="L487" s="70">
        <v>0.6</v>
      </c>
      <c r="M487" s="41">
        <v>0</v>
      </c>
      <c r="N487" s="15">
        <f t="shared" si="26"/>
        <v>208</v>
      </c>
      <c r="O487" s="15">
        <f t="shared" si="27"/>
        <v>6.24</v>
      </c>
      <c r="P487" s="15">
        <f>IF(G487,INDEX(monster!$J$2:$J$606,MATCH(skill!C487,monster!$A$2:$A$606,0)),Q487)</f>
        <v>8</v>
      </c>
      <c r="Q487" s="70">
        <v>8</v>
      </c>
      <c r="R487" s="33">
        <v>1500</v>
      </c>
    </row>
    <row r="488" spans="1:18" s="38" customFormat="1" x14ac:dyDescent="0.15">
      <c r="A488" s="32">
        <v>10509</v>
      </c>
      <c r="B488" s="32" t="s">
        <v>910</v>
      </c>
      <c r="C488" s="32">
        <v>1296</v>
      </c>
      <c r="D488" s="32">
        <v>2</v>
      </c>
      <c r="E488" s="15">
        <f>INDEX(数值规划表!$G$79:$G$89,$D488+1)</f>
        <v>388</v>
      </c>
      <c r="F488" s="15">
        <f>INDEX(数值规划表!$H$79:$H$89,$D488+1)</f>
        <v>11.65</v>
      </c>
      <c r="G488" s="15" t="b">
        <f t="shared" si="25"/>
        <v>0</v>
      </c>
      <c r="H488" s="32">
        <v>0</v>
      </c>
      <c r="I488" s="15">
        <f>IF(H488&gt;0,HLOOKUP(R488/100,数值规划表!$B$37:$AA$39,3),1)</f>
        <v>1</v>
      </c>
      <c r="J488" s="31" t="s">
        <v>1625</v>
      </c>
      <c r="K488" s="15">
        <f>INDEX(数值规划表!$B$15:$B$18,MATCH(J488,攻击范围,0))</f>
        <v>1</v>
      </c>
      <c r="L488" s="70">
        <v>0.6</v>
      </c>
      <c r="M488" s="41">
        <v>0</v>
      </c>
      <c r="N488" s="15">
        <f t="shared" si="26"/>
        <v>233</v>
      </c>
      <c r="O488" s="15">
        <f t="shared" si="27"/>
        <v>6.99</v>
      </c>
      <c r="P488" s="15">
        <f>IF(G488,INDEX(monster!$J$2:$J$606,MATCH(skill!C488,monster!$A$2:$A$606,0)),Q488)</f>
        <v>8</v>
      </c>
      <c r="Q488" s="70">
        <v>8</v>
      </c>
      <c r="R488" s="33">
        <v>1500</v>
      </c>
    </row>
    <row r="489" spans="1:18" s="38" customFormat="1" x14ac:dyDescent="0.15">
      <c r="A489" s="32">
        <v>10510</v>
      </c>
      <c r="B489" s="32" t="s">
        <v>911</v>
      </c>
      <c r="C489" s="32">
        <v>1297</v>
      </c>
      <c r="D489" s="32">
        <v>3</v>
      </c>
      <c r="E489" s="15">
        <f>INDEX(数值规划表!$G$79:$G$89,$D489+1)</f>
        <v>435</v>
      </c>
      <c r="F489" s="15">
        <f>INDEX(数值规划表!$H$79:$H$89,$D489+1)</f>
        <v>13.05</v>
      </c>
      <c r="G489" s="15" t="b">
        <f t="shared" si="25"/>
        <v>0</v>
      </c>
      <c r="H489" s="32">
        <v>0</v>
      </c>
      <c r="I489" s="15">
        <f>IF(H489&gt;0,HLOOKUP(R489/100,数值规划表!$B$37:$AA$39,3),1)</f>
        <v>1</v>
      </c>
      <c r="J489" s="31" t="s">
        <v>1625</v>
      </c>
      <c r="K489" s="15">
        <f>INDEX(数值规划表!$B$15:$B$18,MATCH(J489,攻击范围,0))</f>
        <v>1</v>
      </c>
      <c r="L489" s="70">
        <v>0.6</v>
      </c>
      <c r="M489" s="41">
        <v>0</v>
      </c>
      <c r="N489" s="15">
        <f t="shared" si="26"/>
        <v>261</v>
      </c>
      <c r="O489" s="15">
        <f t="shared" si="27"/>
        <v>7.83</v>
      </c>
      <c r="P489" s="15">
        <f>IF(G489,INDEX(monster!$J$2:$J$606,MATCH(skill!C489,monster!$A$2:$A$606,0)),Q489)</f>
        <v>8</v>
      </c>
      <c r="Q489" s="70">
        <v>8</v>
      </c>
      <c r="R489" s="33">
        <v>1500</v>
      </c>
    </row>
    <row r="490" spans="1:18" s="38" customFormat="1" x14ac:dyDescent="0.15">
      <c r="A490" s="32">
        <v>10511</v>
      </c>
      <c r="B490" s="32" t="s">
        <v>912</v>
      </c>
      <c r="C490" s="32">
        <v>1298</v>
      </c>
      <c r="D490" s="32">
        <v>4</v>
      </c>
      <c r="E490" s="15">
        <f>INDEX(数值规划表!$G$79:$G$89,$D490+1)</f>
        <v>487</v>
      </c>
      <c r="F490" s="15">
        <f>INDEX(数值规划表!$H$79:$H$89,$D490+1)</f>
        <v>14.61</v>
      </c>
      <c r="G490" s="15" t="b">
        <f t="shared" si="25"/>
        <v>0</v>
      </c>
      <c r="H490" s="32">
        <v>0</v>
      </c>
      <c r="I490" s="15">
        <f>IF(H490&gt;0,HLOOKUP(R490/100,数值规划表!$B$37:$AA$39,3),1)</f>
        <v>1</v>
      </c>
      <c r="J490" s="31" t="s">
        <v>1625</v>
      </c>
      <c r="K490" s="15">
        <f>INDEX(数值规划表!$B$15:$B$18,MATCH(J490,攻击范围,0))</f>
        <v>1</v>
      </c>
      <c r="L490" s="70">
        <v>0.6</v>
      </c>
      <c r="M490" s="41">
        <v>0</v>
      </c>
      <c r="N490" s="15">
        <f t="shared" si="26"/>
        <v>292</v>
      </c>
      <c r="O490" s="15">
        <f t="shared" si="27"/>
        <v>8.77</v>
      </c>
      <c r="P490" s="15">
        <f>IF(G490,INDEX(monster!$J$2:$J$606,MATCH(skill!C490,monster!$A$2:$A$606,0)),Q490)</f>
        <v>8</v>
      </c>
      <c r="Q490" s="70">
        <v>8</v>
      </c>
      <c r="R490" s="33">
        <v>1500</v>
      </c>
    </row>
    <row r="491" spans="1:18" s="38" customFormat="1" x14ac:dyDescent="0.15">
      <c r="A491" s="32">
        <v>10512</v>
      </c>
      <c r="B491" s="32" t="s">
        <v>913</v>
      </c>
      <c r="C491" s="32">
        <v>1299</v>
      </c>
      <c r="D491" s="32">
        <v>5</v>
      </c>
      <c r="E491" s="15">
        <f>INDEX(数值规划表!$G$79:$G$89,$D491+1)</f>
        <v>546</v>
      </c>
      <c r="F491" s="15">
        <f>INDEX(数值规划表!$H$79:$H$89,$D491+1)</f>
        <v>16.37</v>
      </c>
      <c r="G491" s="15" t="b">
        <f t="shared" si="25"/>
        <v>0</v>
      </c>
      <c r="H491" s="32">
        <v>0</v>
      </c>
      <c r="I491" s="15">
        <f>IF(H491&gt;0,HLOOKUP(R491/100,数值规划表!$B$37:$AA$39,3),1)</f>
        <v>1</v>
      </c>
      <c r="J491" s="31" t="s">
        <v>1625</v>
      </c>
      <c r="K491" s="15">
        <f>INDEX(数值规划表!$B$15:$B$18,MATCH(J491,攻击范围,0))</f>
        <v>1</v>
      </c>
      <c r="L491" s="70">
        <v>0.6</v>
      </c>
      <c r="M491" s="41">
        <v>0</v>
      </c>
      <c r="N491" s="15">
        <f t="shared" si="26"/>
        <v>328</v>
      </c>
      <c r="O491" s="15">
        <f t="shared" si="27"/>
        <v>9.82</v>
      </c>
      <c r="P491" s="15">
        <f>IF(G491,INDEX(monster!$J$2:$J$606,MATCH(skill!C491,monster!$A$2:$A$606,0)),Q491)</f>
        <v>8</v>
      </c>
      <c r="Q491" s="70">
        <v>8</v>
      </c>
      <c r="R491" s="33">
        <v>1500</v>
      </c>
    </row>
    <row r="492" spans="1:18" s="38" customFormat="1" x14ac:dyDescent="0.15">
      <c r="A492" s="32">
        <v>10513</v>
      </c>
      <c r="B492" s="32" t="s">
        <v>914</v>
      </c>
      <c r="C492" s="32">
        <v>1300</v>
      </c>
      <c r="D492" s="32">
        <v>6</v>
      </c>
      <c r="E492" s="15">
        <f>INDEX(数值规划表!$G$79:$G$89,$D492+1)</f>
        <v>611</v>
      </c>
      <c r="F492" s="15">
        <f>INDEX(数值规划表!$H$79:$H$89,$D492+1)</f>
        <v>18.329999999999998</v>
      </c>
      <c r="G492" s="15" t="b">
        <f t="shared" ref="G492:G551" si="29">ISNUMBER(FIND("普攻",B492))</f>
        <v>0</v>
      </c>
      <c r="H492" s="32">
        <v>0</v>
      </c>
      <c r="I492" s="15">
        <f>IF(H492&gt;0,HLOOKUP(R492/100,数值规划表!$B$37:$AA$39,3),1)</f>
        <v>1</v>
      </c>
      <c r="J492" s="31" t="s">
        <v>1625</v>
      </c>
      <c r="K492" s="15">
        <f>INDEX(数值规划表!$B$15:$B$18,MATCH(J492,攻击范围,0))</f>
        <v>1</v>
      </c>
      <c r="L492" s="70">
        <v>0.6</v>
      </c>
      <c r="M492" s="41">
        <v>0</v>
      </c>
      <c r="N492" s="15">
        <f t="shared" si="26"/>
        <v>367</v>
      </c>
      <c r="O492" s="15">
        <f t="shared" si="27"/>
        <v>11</v>
      </c>
      <c r="P492" s="15">
        <f>IF(G492,INDEX(monster!$J$2:$J$606,MATCH(skill!C492,monster!$A$2:$A$606,0)),Q492)</f>
        <v>8</v>
      </c>
      <c r="Q492" s="70">
        <v>8</v>
      </c>
      <c r="R492" s="33">
        <v>1500</v>
      </c>
    </row>
    <row r="493" spans="1:18" s="38" customFormat="1" x14ac:dyDescent="0.15">
      <c r="A493" s="32">
        <v>10514</v>
      </c>
      <c r="B493" s="32" t="s">
        <v>915</v>
      </c>
      <c r="C493" s="32">
        <v>1301</v>
      </c>
      <c r="D493" s="32">
        <v>7</v>
      </c>
      <c r="E493" s="15">
        <f>INDEX(数值规划表!$G$79:$G$89,$D493+1)</f>
        <v>684</v>
      </c>
      <c r="F493" s="15">
        <f>INDEX(数值规划表!$H$79:$H$89,$D493+1)</f>
        <v>20.53</v>
      </c>
      <c r="G493" s="15" t="b">
        <f t="shared" si="29"/>
        <v>0</v>
      </c>
      <c r="H493" s="32">
        <v>0</v>
      </c>
      <c r="I493" s="15">
        <f>IF(H493&gt;0,HLOOKUP(R493/100,数值规划表!$B$37:$AA$39,3),1)</f>
        <v>1</v>
      </c>
      <c r="J493" s="31" t="s">
        <v>1625</v>
      </c>
      <c r="K493" s="15">
        <f>INDEX(数值规划表!$B$15:$B$18,MATCH(J493,攻击范围,0))</f>
        <v>1</v>
      </c>
      <c r="L493" s="70">
        <v>0.6</v>
      </c>
      <c r="M493" s="41">
        <v>0</v>
      </c>
      <c r="N493" s="15">
        <f t="shared" si="26"/>
        <v>410</v>
      </c>
      <c r="O493" s="15">
        <f t="shared" si="27"/>
        <v>12.32</v>
      </c>
      <c r="P493" s="15">
        <f>IF(G493,INDEX(monster!$J$2:$J$606,MATCH(skill!C493,monster!$A$2:$A$606,0)),Q493)</f>
        <v>8</v>
      </c>
      <c r="Q493" s="70">
        <v>8</v>
      </c>
      <c r="R493" s="33">
        <v>1500</v>
      </c>
    </row>
    <row r="494" spans="1:18" s="38" customFormat="1" x14ac:dyDescent="0.15">
      <c r="A494" s="32">
        <v>10515</v>
      </c>
      <c r="B494" s="32" t="s">
        <v>916</v>
      </c>
      <c r="C494" s="32">
        <v>1302</v>
      </c>
      <c r="D494" s="32">
        <v>8</v>
      </c>
      <c r="E494" s="15">
        <f>INDEX(数值规划表!$G$79:$G$89,$D494+1)</f>
        <v>766</v>
      </c>
      <c r="F494" s="15">
        <f>INDEX(数值规划表!$H$79:$H$89,$D494+1)</f>
        <v>22.99</v>
      </c>
      <c r="G494" s="15" t="b">
        <f t="shared" si="29"/>
        <v>0</v>
      </c>
      <c r="H494" s="32">
        <v>0</v>
      </c>
      <c r="I494" s="15">
        <f>IF(H494&gt;0,HLOOKUP(R494/100,数值规划表!$B$37:$AA$39,3),1)</f>
        <v>1</v>
      </c>
      <c r="J494" s="31" t="s">
        <v>1625</v>
      </c>
      <c r="K494" s="15">
        <f>INDEX(数值规划表!$B$15:$B$18,MATCH(J494,攻击范围,0))</f>
        <v>1</v>
      </c>
      <c r="L494" s="70">
        <v>0.6</v>
      </c>
      <c r="M494" s="41">
        <v>0</v>
      </c>
      <c r="N494" s="15">
        <f t="shared" si="26"/>
        <v>460</v>
      </c>
      <c r="O494" s="15">
        <f t="shared" si="27"/>
        <v>13.79</v>
      </c>
      <c r="P494" s="15">
        <f>IF(G494,INDEX(monster!$J$2:$J$606,MATCH(skill!C494,monster!$A$2:$A$606,0)),Q494)</f>
        <v>8</v>
      </c>
      <c r="Q494" s="70">
        <v>8</v>
      </c>
      <c r="R494" s="33">
        <v>1500</v>
      </c>
    </row>
    <row r="495" spans="1:18" s="38" customFormat="1" x14ac:dyDescent="0.15">
      <c r="A495" s="32">
        <v>10516</v>
      </c>
      <c r="B495" s="32" t="s">
        <v>917</v>
      </c>
      <c r="C495" s="32">
        <v>1303</v>
      </c>
      <c r="D495" s="32">
        <v>9</v>
      </c>
      <c r="E495" s="15">
        <f>INDEX(数值规划表!$G$79:$G$89,$D495+1)</f>
        <v>858</v>
      </c>
      <c r="F495" s="15">
        <f>INDEX(数值规划表!$H$79:$H$89,$D495+1)</f>
        <v>25.75</v>
      </c>
      <c r="G495" s="15" t="b">
        <f t="shared" si="29"/>
        <v>0</v>
      </c>
      <c r="H495" s="32">
        <v>0</v>
      </c>
      <c r="I495" s="15">
        <f>IF(H495&gt;0,HLOOKUP(R495/100,数值规划表!$B$37:$AA$39,3),1)</f>
        <v>1</v>
      </c>
      <c r="J495" s="31" t="s">
        <v>1625</v>
      </c>
      <c r="K495" s="15">
        <f>INDEX(数值规划表!$B$15:$B$18,MATCH(J495,攻击范围,0))</f>
        <v>1</v>
      </c>
      <c r="L495" s="70">
        <v>0.6</v>
      </c>
      <c r="M495" s="41">
        <v>0</v>
      </c>
      <c r="N495" s="15">
        <f t="shared" si="26"/>
        <v>515</v>
      </c>
      <c r="O495" s="15">
        <f t="shared" si="27"/>
        <v>15.45</v>
      </c>
      <c r="P495" s="15">
        <f>IF(G495,INDEX(monster!$J$2:$J$606,MATCH(skill!C495,monster!$A$2:$A$606,0)),Q495)</f>
        <v>8</v>
      </c>
      <c r="Q495" s="70">
        <v>8</v>
      </c>
      <c r="R495" s="33">
        <v>1500</v>
      </c>
    </row>
    <row r="496" spans="1:18" s="38" customFormat="1" x14ac:dyDescent="0.15">
      <c r="A496" s="32">
        <v>10517</v>
      </c>
      <c r="B496" s="32" t="s">
        <v>918</v>
      </c>
      <c r="C496" s="32">
        <v>1304</v>
      </c>
      <c r="D496" s="32">
        <v>10</v>
      </c>
      <c r="E496" s="15">
        <f>INDEX(数值规划表!$G$79:$G$89,$D496+1)</f>
        <v>961</v>
      </c>
      <c r="F496" s="15">
        <f>INDEX(数值规划表!$H$79:$H$89,$D496+1)</f>
        <v>28.84</v>
      </c>
      <c r="G496" s="15" t="b">
        <f t="shared" si="29"/>
        <v>0</v>
      </c>
      <c r="H496" s="32">
        <v>0</v>
      </c>
      <c r="I496" s="15">
        <f>IF(H496&gt;0,HLOOKUP(R496/100,数值规划表!$B$37:$AA$39,3),1)</f>
        <v>1</v>
      </c>
      <c r="J496" s="31" t="s">
        <v>1625</v>
      </c>
      <c r="K496" s="15">
        <f>INDEX(数值规划表!$B$15:$B$18,MATCH(J496,攻击范围,0))</f>
        <v>1</v>
      </c>
      <c r="L496" s="70">
        <v>0.6</v>
      </c>
      <c r="M496" s="41">
        <v>0</v>
      </c>
      <c r="N496" s="15">
        <f t="shared" si="26"/>
        <v>577</v>
      </c>
      <c r="O496" s="15">
        <f t="shared" si="27"/>
        <v>17.3</v>
      </c>
      <c r="P496" s="15">
        <f>IF(G496,INDEX(monster!$J$2:$J$606,MATCH(skill!C496,monster!$A$2:$A$606,0)),Q496)</f>
        <v>8</v>
      </c>
      <c r="Q496" s="70">
        <v>8</v>
      </c>
      <c r="R496" s="33">
        <v>1500</v>
      </c>
    </row>
    <row r="497" spans="1:18" s="38" customFormat="1" x14ac:dyDescent="0.15">
      <c r="A497" s="32">
        <v>10518</v>
      </c>
      <c r="B497" s="32" t="s">
        <v>1504</v>
      </c>
      <c r="C497" s="32">
        <v>1305</v>
      </c>
      <c r="D497" s="32">
        <v>0</v>
      </c>
      <c r="E497" s="15">
        <f>INDEX(monster!$H$2:$H$617,MATCH(skill!C497,monster!$A$2:$A$617,0))</f>
        <v>37.799999999999997</v>
      </c>
      <c r="F497" s="15">
        <f>INDEX(monster!$I$2:$I$617,MATCH(C497,monster!$A$2:$A$617,0))</f>
        <v>1.1299999999999999</v>
      </c>
      <c r="G497" s="15" t="b">
        <f t="shared" si="29"/>
        <v>1</v>
      </c>
      <c r="H497" s="32">
        <v>1</v>
      </c>
      <c r="I497" s="15">
        <f>IF(H497&gt;0,HLOOKUP(R497/100,数值规划表!$B$37:$AA$39,3),1)</f>
        <v>1.296</v>
      </c>
      <c r="J497" s="31" t="s">
        <v>1625</v>
      </c>
      <c r="K497" s="15">
        <f>INDEX(数值规划表!$B$15:$B$18,MATCH(J497,攻击范围,0))</f>
        <v>1</v>
      </c>
      <c r="L497" s="30">
        <v>1</v>
      </c>
      <c r="M497" s="41">
        <v>0</v>
      </c>
      <c r="N497" s="15">
        <f t="shared" si="26"/>
        <v>49</v>
      </c>
      <c r="O497" s="15">
        <f t="shared" si="27"/>
        <v>1.46</v>
      </c>
      <c r="P497" s="15">
        <f>IF(G497,INDEX(monster!$J$2:$J$606,MATCH(skill!C497,monster!$A$2:$A$606,0)),Q497)</f>
        <v>1.2</v>
      </c>
      <c r="Q497" s="70"/>
      <c r="R497" s="33">
        <v>120</v>
      </c>
    </row>
    <row r="498" spans="1:18" s="38" customFormat="1" x14ac:dyDescent="0.15">
      <c r="A498" s="32">
        <v>10519</v>
      </c>
      <c r="B498" s="32" t="s">
        <v>1505</v>
      </c>
      <c r="C498" s="32">
        <v>1306</v>
      </c>
      <c r="D498" s="32">
        <v>1</v>
      </c>
      <c r="E498" s="15">
        <f>INDEX(monster!$H$2:$H$617,MATCH(skill!C498,monster!$A$2:$A$617,0))</f>
        <v>42.34</v>
      </c>
      <c r="F498" s="15">
        <f>INDEX(monster!$I$2:$I$617,MATCH(C498,monster!$A$2:$A$617,0))</f>
        <v>1.27</v>
      </c>
      <c r="G498" s="15" t="b">
        <f t="shared" si="29"/>
        <v>1</v>
      </c>
      <c r="H498" s="32">
        <v>1</v>
      </c>
      <c r="I498" s="15">
        <f>IF(H498&gt;0,HLOOKUP(R498/100,数值规划表!$B$37:$AA$39,3),1)</f>
        <v>1.296</v>
      </c>
      <c r="J498" s="31" t="s">
        <v>1625</v>
      </c>
      <c r="K498" s="15">
        <f>INDEX(数值规划表!$B$15:$B$18,MATCH(J498,攻击范围,0))</f>
        <v>1</v>
      </c>
      <c r="L498" s="30">
        <v>1</v>
      </c>
      <c r="M498" s="41">
        <v>0</v>
      </c>
      <c r="N498" s="15">
        <f t="shared" si="26"/>
        <v>55</v>
      </c>
      <c r="O498" s="15">
        <f t="shared" si="27"/>
        <v>1.65</v>
      </c>
      <c r="P498" s="15">
        <f>IF(G498,INDEX(monster!$J$2:$J$606,MATCH(skill!C498,monster!$A$2:$A$606,0)),Q498)</f>
        <v>1.2</v>
      </c>
      <c r="Q498" s="70"/>
      <c r="R498" s="33">
        <v>120</v>
      </c>
    </row>
    <row r="499" spans="1:18" s="38" customFormat="1" x14ac:dyDescent="0.15">
      <c r="A499" s="32">
        <v>10520</v>
      </c>
      <c r="B499" s="32" t="s">
        <v>919</v>
      </c>
      <c r="C499" s="32">
        <v>1307</v>
      </c>
      <c r="D499" s="32">
        <v>2</v>
      </c>
      <c r="E499" s="15">
        <f>INDEX(monster!$H$2:$H$617,MATCH(skill!C499,monster!$A$2:$A$617,0))</f>
        <v>47.42</v>
      </c>
      <c r="F499" s="15">
        <f>INDEX(monster!$I$2:$I$617,MATCH(C499,monster!$A$2:$A$617,0))</f>
        <v>1.42</v>
      </c>
      <c r="G499" s="15" t="b">
        <f t="shared" si="29"/>
        <v>1</v>
      </c>
      <c r="H499" s="32">
        <v>1</v>
      </c>
      <c r="I499" s="15">
        <f>IF(H499&gt;0,HLOOKUP(R499/100,数值规划表!$B$37:$AA$39,3),1)</f>
        <v>1.296</v>
      </c>
      <c r="J499" s="31" t="s">
        <v>1625</v>
      </c>
      <c r="K499" s="15">
        <f>INDEX(数值规划表!$B$15:$B$18,MATCH(J499,攻击范围,0))</f>
        <v>1</v>
      </c>
      <c r="L499" s="30">
        <v>1</v>
      </c>
      <c r="M499" s="41">
        <v>0</v>
      </c>
      <c r="N499" s="15">
        <f t="shared" si="26"/>
        <v>61</v>
      </c>
      <c r="O499" s="15">
        <f t="shared" si="27"/>
        <v>1.84</v>
      </c>
      <c r="P499" s="15">
        <f>IF(G499,INDEX(monster!$J$2:$J$606,MATCH(skill!C499,monster!$A$2:$A$606,0)),Q499)</f>
        <v>1.2</v>
      </c>
      <c r="Q499" s="70"/>
      <c r="R499" s="33">
        <v>120</v>
      </c>
    </row>
    <row r="500" spans="1:18" s="38" customFormat="1" x14ac:dyDescent="0.15">
      <c r="A500" s="32">
        <v>10521</v>
      </c>
      <c r="B500" s="32" t="s">
        <v>920</v>
      </c>
      <c r="C500" s="32">
        <v>1308</v>
      </c>
      <c r="D500" s="32">
        <v>3</v>
      </c>
      <c r="E500" s="15">
        <f>INDEX(monster!$H$2:$H$617,MATCH(skill!C500,monster!$A$2:$A$617,0))</f>
        <v>53.11</v>
      </c>
      <c r="F500" s="15">
        <f>INDEX(monster!$I$2:$I$617,MATCH(C500,monster!$A$2:$A$617,0))</f>
        <v>1.59</v>
      </c>
      <c r="G500" s="15" t="b">
        <f t="shared" si="29"/>
        <v>1</v>
      </c>
      <c r="H500" s="32">
        <v>1</v>
      </c>
      <c r="I500" s="15">
        <f>IF(H500&gt;0,HLOOKUP(R500/100,数值规划表!$B$37:$AA$39,3),1)</f>
        <v>1.296</v>
      </c>
      <c r="J500" s="31" t="s">
        <v>1625</v>
      </c>
      <c r="K500" s="15">
        <f>INDEX(数值规划表!$B$15:$B$18,MATCH(J500,攻击范围,0))</f>
        <v>1</v>
      </c>
      <c r="L500" s="30">
        <v>1</v>
      </c>
      <c r="M500" s="41">
        <v>0</v>
      </c>
      <c r="N500" s="15">
        <f t="shared" si="26"/>
        <v>69</v>
      </c>
      <c r="O500" s="15">
        <f t="shared" si="27"/>
        <v>2.06</v>
      </c>
      <c r="P500" s="15">
        <f>IF(G500,INDEX(monster!$J$2:$J$606,MATCH(skill!C500,monster!$A$2:$A$606,0)),Q500)</f>
        <v>1.2</v>
      </c>
      <c r="Q500" s="70"/>
      <c r="R500" s="33">
        <v>120</v>
      </c>
    </row>
    <row r="501" spans="1:18" s="38" customFormat="1" x14ac:dyDescent="0.15">
      <c r="A501" s="32">
        <v>10522</v>
      </c>
      <c r="B501" s="32" t="s">
        <v>921</v>
      </c>
      <c r="C501" s="32">
        <v>1309</v>
      </c>
      <c r="D501" s="32">
        <v>4</v>
      </c>
      <c r="E501" s="15">
        <f>INDEX(monster!$H$2:$H$617,MATCH(skill!C501,monster!$A$2:$A$617,0))</f>
        <v>59.48</v>
      </c>
      <c r="F501" s="15">
        <f>INDEX(monster!$I$2:$I$617,MATCH(C501,monster!$A$2:$A$617,0))</f>
        <v>1.78</v>
      </c>
      <c r="G501" s="15" t="b">
        <f t="shared" si="29"/>
        <v>1</v>
      </c>
      <c r="H501" s="32">
        <v>1</v>
      </c>
      <c r="I501" s="15">
        <f>IF(H501&gt;0,HLOOKUP(R501/100,数值规划表!$B$37:$AA$39,3),1)</f>
        <v>1.296</v>
      </c>
      <c r="J501" s="31" t="s">
        <v>1625</v>
      </c>
      <c r="K501" s="15">
        <f>INDEX(数值规划表!$B$15:$B$18,MATCH(J501,攻击范围,0))</f>
        <v>1</v>
      </c>
      <c r="L501" s="30">
        <v>1</v>
      </c>
      <c r="M501" s="41">
        <v>0</v>
      </c>
      <c r="N501" s="15">
        <f t="shared" si="26"/>
        <v>77</v>
      </c>
      <c r="O501" s="15">
        <f t="shared" si="27"/>
        <v>2.31</v>
      </c>
      <c r="P501" s="15">
        <f>IF(G501,INDEX(monster!$J$2:$J$606,MATCH(skill!C501,monster!$A$2:$A$606,0)),Q501)</f>
        <v>1.2</v>
      </c>
      <c r="Q501" s="70"/>
      <c r="R501" s="33">
        <v>120</v>
      </c>
    </row>
    <row r="502" spans="1:18" s="38" customFormat="1" x14ac:dyDescent="0.15">
      <c r="A502" s="32">
        <v>10523</v>
      </c>
      <c r="B502" s="32" t="s">
        <v>922</v>
      </c>
      <c r="C502" s="32">
        <v>1310</v>
      </c>
      <c r="D502" s="32">
        <v>5</v>
      </c>
      <c r="E502" s="15">
        <f>INDEX(monster!$H$2:$H$617,MATCH(skill!C502,monster!$A$2:$A$617,0))</f>
        <v>66.62</v>
      </c>
      <c r="F502" s="15">
        <f>INDEX(monster!$I$2:$I$617,MATCH(C502,monster!$A$2:$A$617,0))</f>
        <v>2</v>
      </c>
      <c r="G502" s="15" t="b">
        <f t="shared" si="29"/>
        <v>1</v>
      </c>
      <c r="H502" s="32">
        <v>1</v>
      </c>
      <c r="I502" s="15">
        <f>IF(H502&gt;0,HLOOKUP(R502/100,数值规划表!$B$37:$AA$39,3),1)</f>
        <v>1.296</v>
      </c>
      <c r="J502" s="31" t="s">
        <v>1625</v>
      </c>
      <c r="K502" s="15">
        <f>INDEX(数值规划表!$B$15:$B$18,MATCH(J502,攻击范围,0))</f>
        <v>1</v>
      </c>
      <c r="L502" s="30">
        <v>1</v>
      </c>
      <c r="M502" s="41">
        <v>0</v>
      </c>
      <c r="N502" s="15">
        <f t="shared" si="26"/>
        <v>86</v>
      </c>
      <c r="O502" s="15">
        <f t="shared" si="27"/>
        <v>2.59</v>
      </c>
      <c r="P502" s="15">
        <f>IF(G502,INDEX(monster!$J$2:$J$606,MATCH(skill!C502,monster!$A$2:$A$606,0)),Q502)</f>
        <v>1.2</v>
      </c>
      <c r="Q502" s="70"/>
      <c r="R502" s="33">
        <v>120</v>
      </c>
    </row>
    <row r="503" spans="1:18" s="38" customFormat="1" x14ac:dyDescent="0.15">
      <c r="A503" s="32">
        <v>10524</v>
      </c>
      <c r="B503" s="32" t="s">
        <v>923</v>
      </c>
      <c r="C503" s="32">
        <v>1311</v>
      </c>
      <c r="D503" s="32">
        <v>6</v>
      </c>
      <c r="E503" s="15">
        <f>INDEX(monster!$H$2:$H$617,MATCH(skill!C503,monster!$A$2:$A$617,0))</f>
        <v>74.61</v>
      </c>
      <c r="F503" s="15">
        <f>INDEX(monster!$I$2:$I$617,MATCH(C503,monster!$A$2:$A$617,0))</f>
        <v>2.2400000000000002</v>
      </c>
      <c r="G503" s="15" t="b">
        <f t="shared" si="29"/>
        <v>1</v>
      </c>
      <c r="H503" s="32">
        <v>1</v>
      </c>
      <c r="I503" s="15">
        <f>IF(H503&gt;0,HLOOKUP(R503/100,数值规划表!$B$37:$AA$39,3),1)</f>
        <v>1.296</v>
      </c>
      <c r="J503" s="31" t="s">
        <v>1625</v>
      </c>
      <c r="K503" s="15">
        <f>INDEX(数值规划表!$B$15:$B$18,MATCH(J503,攻击范围,0))</f>
        <v>1</v>
      </c>
      <c r="L503" s="30">
        <v>1</v>
      </c>
      <c r="M503" s="41">
        <v>0</v>
      </c>
      <c r="N503" s="15">
        <f t="shared" ref="N503:N566" si="30">ROUND(E503*I503*K503*L503,0)</f>
        <v>97</v>
      </c>
      <c r="O503" s="15">
        <f t="shared" ref="O503:O566" si="31">ROUND(F503*I503*K503*L503,2)</f>
        <v>2.9</v>
      </c>
      <c r="P503" s="15">
        <f>IF(G503,INDEX(monster!$J$2:$J$606,MATCH(skill!C503,monster!$A$2:$A$606,0)),Q503)</f>
        <v>1.2</v>
      </c>
      <c r="Q503" s="70"/>
      <c r="R503" s="33">
        <v>120</v>
      </c>
    </row>
    <row r="504" spans="1:18" s="38" customFormat="1" x14ac:dyDescent="0.15">
      <c r="A504" s="32">
        <v>10525</v>
      </c>
      <c r="B504" s="32" t="s">
        <v>924</v>
      </c>
      <c r="C504" s="32">
        <v>1312</v>
      </c>
      <c r="D504" s="32">
        <v>7</v>
      </c>
      <c r="E504" s="15">
        <f>INDEX(monster!$H$2:$H$617,MATCH(skill!C504,monster!$A$2:$A$617,0))</f>
        <v>83.56</v>
      </c>
      <c r="F504" s="15">
        <f>INDEX(monster!$I$2:$I$617,MATCH(C504,monster!$A$2:$A$617,0))</f>
        <v>2.5099999999999998</v>
      </c>
      <c r="G504" s="15" t="b">
        <f t="shared" si="29"/>
        <v>1</v>
      </c>
      <c r="H504" s="32">
        <v>1</v>
      </c>
      <c r="I504" s="15">
        <f>IF(H504&gt;0,HLOOKUP(R504/100,数值规划表!$B$37:$AA$39,3),1)</f>
        <v>1.296</v>
      </c>
      <c r="J504" s="31" t="s">
        <v>1625</v>
      </c>
      <c r="K504" s="15">
        <f>INDEX(数值规划表!$B$15:$B$18,MATCH(J504,攻击范围,0))</f>
        <v>1</v>
      </c>
      <c r="L504" s="30">
        <v>1</v>
      </c>
      <c r="M504" s="41">
        <v>0</v>
      </c>
      <c r="N504" s="15">
        <f t="shared" si="30"/>
        <v>108</v>
      </c>
      <c r="O504" s="15">
        <f t="shared" si="31"/>
        <v>3.25</v>
      </c>
      <c r="P504" s="15">
        <f>IF(G504,INDEX(monster!$J$2:$J$606,MATCH(skill!C504,monster!$A$2:$A$606,0)),Q504)</f>
        <v>1.2</v>
      </c>
      <c r="Q504" s="70"/>
      <c r="R504" s="33">
        <v>120</v>
      </c>
    </row>
    <row r="505" spans="1:18" s="38" customFormat="1" x14ac:dyDescent="0.15">
      <c r="A505" s="32">
        <v>10526</v>
      </c>
      <c r="B505" s="32" t="s">
        <v>925</v>
      </c>
      <c r="C505" s="32">
        <v>1313</v>
      </c>
      <c r="D505" s="32">
        <v>8</v>
      </c>
      <c r="E505" s="15">
        <f>INDEX(monster!$H$2:$H$617,MATCH(skill!C505,monster!$A$2:$A$617,0))</f>
        <v>93.59</v>
      </c>
      <c r="F505" s="15">
        <f>INDEX(monster!$I$2:$I$617,MATCH(C505,monster!$A$2:$A$617,0))</f>
        <v>2.81</v>
      </c>
      <c r="G505" s="15" t="b">
        <f t="shared" si="29"/>
        <v>1</v>
      </c>
      <c r="H505" s="32">
        <v>1</v>
      </c>
      <c r="I505" s="15">
        <f>IF(H505&gt;0,HLOOKUP(R505/100,数值规划表!$B$37:$AA$39,3),1)</f>
        <v>1.296</v>
      </c>
      <c r="J505" s="31" t="s">
        <v>1625</v>
      </c>
      <c r="K505" s="15">
        <f>INDEX(数值规划表!$B$15:$B$18,MATCH(J505,攻击范围,0))</f>
        <v>1</v>
      </c>
      <c r="L505" s="30">
        <v>1</v>
      </c>
      <c r="M505" s="41">
        <v>0</v>
      </c>
      <c r="N505" s="15">
        <f t="shared" si="30"/>
        <v>121</v>
      </c>
      <c r="O505" s="15">
        <f t="shared" si="31"/>
        <v>3.64</v>
      </c>
      <c r="P505" s="15">
        <f>IF(G505,INDEX(monster!$J$2:$J$606,MATCH(skill!C505,monster!$A$2:$A$606,0)),Q505)</f>
        <v>1.2</v>
      </c>
      <c r="Q505" s="70"/>
      <c r="R505" s="33">
        <v>120</v>
      </c>
    </row>
    <row r="506" spans="1:18" s="38" customFormat="1" x14ac:dyDescent="0.15">
      <c r="A506" s="32">
        <v>10527</v>
      </c>
      <c r="B506" s="32" t="s">
        <v>926</v>
      </c>
      <c r="C506" s="32">
        <v>1314</v>
      </c>
      <c r="D506" s="32">
        <v>9</v>
      </c>
      <c r="E506" s="15">
        <f>INDEX(monster!$H$2:$H$617,MATCH(skill!C506,monster!$A$2:$A$617,0))</f>
        <v>104.82</v>
      </c>
      <c r="F506" s="15">
        <f>INDEX(monster!$I$2:$I$617,MATCH(C506,monster!$A$2:$A$617,0))</f>
        <v>3.14</v>
      </c>
      <c r="G506" s="15" t="b">
        <f t="shared" si="29"/>
        <v>1</v>
      </c>
      <c r="H506" s="32">
        <v>1</v>
      </c>
      <c r="I506" s="15">
        <f>IF(H506&gt;0,HLOOKUP(R506/100,数值规划表!$B$37:$AA$39,3),1)</f>
        <v>1.296</v>
      </c>
      <c r="J506" s="31" t="s">
        <v>1625</v>
      </c>
      <c r="K506" s="15">
        <f>INDEX(数值规划表!$B$15:$B$18,MATCH(J506,攻击范围,0))</f>
        <v>1</v>
      </c>
      <c r="L506" s="30">
        <v>1</v>
      </c>
      <c r="M506" s="41">
        <v>0</v>
      </c>
      <c r="N506" s="15">
        <f t="shared" si="30"/>
        <v>136</v>
      </c>
      <c r="O506" s="15">
        <f t="shared" si="31"/>
        <v>4.07</v>
      </c>
      <c r="P506" s="15">
        <f>IF(G506,INDEX(monster!$J$2:$J$606,MATCH(skill!C506,monster!$A$2:$A$606,0)),Q506)</f>
        <v>1.2</v>
      </c>
      <c r="Q506" s="70"/>
      <c r="R506" s="33">
        <v>120</v>
      </c>
    </row>
    <row r="507" spans="1:18" s="38" customFormat="1" x14ac:dyDescent="0.15">
      <c r="A507" s="32">
        <v>10528</v>
      </c>
      <c r="B507" s="32" t="s">
        <v>927</v>
      </c>
      <c r="C507" s="32">
        <v>1315</v>
      </c>
      <c r="D507" s="32">
        <v>10</v>
      </c>
      <c r="E507" s="15">
        <f>INDEX(monster!$H$2:$H$617,MATCH(skill!C507,monster!$A$2:$A$617,0))</f>
        <v>117.4</v>
      </c>
      <c r="F507" s="15">
        <f>INDEX(monster!$I$2:$I$617,MATCH(C507,monster!$A$2:$A$617,0))</f>
        <v>3.52</v>
      </c>
      <c r="G507" s="15" t="b">
        <f t="shared" si="29"/>
        <v>1</v>
      </c>
      <c r="H507" s="32">
        <v>1</v>
      </c>
      <c r="I507" s="15">
        <f>IF(H507&gt;0,HLOOKUP(R507/100,数值规划表!$B$37:$AA$39,3),1)</f>
        <v>1.296</v>
      </c>
      <c r="J507" s="31" t="s">
        <v>1625</v>
      </c>
      <c r="K507" s="15">
        <f>INDEX(数值规划表!$B$15:$B$18,MATCH(J507,攻击范围,0))</f>
        <v>1</v>
      </c>
      <c r="L507" s="30">
        <v>1</v>
      </c>
      <c r="M507" s="41">
        <v>0</v>
      </c>
      <c r="N507" s="15">
        <f t="shared" si="30"/>
        <v>152</v>
      </c>
      <c r="O507" s="15">
        <f t="shared" si="31"/>
        <v>4.5599999999999996</v>
      </c>
      <c r="P507" s="15">
        <f>IF(G507,INDEX(monster!$J$2:$J$606,MATCH(skill!C507,monster!$A$2:$A$606,0)),Q507)</f>
        <v>1.2</v>
      </c>
      <c r="Q507" s="70"/>
      <c r="R507" s="33">
        <v>120</v>
      </c>
    </row>
    <row r="508" spans="1:18" s="38" customFormat="1" x14ac:dyDescent="0.15">
      <c r="A508" s="32">
        <v>10529</v>
      </c>
      <c r="B508" s="32" t="s">
        <v>1506</v>
      </c>
      <c r="C508" s="32">
        <v>1305</v>
      </c>
      <c r="D508" s="32">
        <v>0</v>
      </c>
      <c r="E508" s="15">
        <f>INDEX(monster!$H$2:$H$617,MATCH(skill!C508,monster!$A$2:$A$617,0))</f>
        <v>37.799999999999997</v>
      </c>
      <c r="F508" s="15">
        <f>INDEX(monster!$I$2:$I$617,MATCH(C508,monster!$A$2:$A$617,0))</f>
        <v>1.1299999999999999</v>
      </c>
      <c r="G508" s="15" t="b">
        <f t="shared" si="29"/>
        <v>0</v>
      </c>
      <c r="H508" s="32">
        <v>0</v>
      </c>
      <c r="I508" s="15">
        <f>IF(H508&gt;0,HLOOKUP(R508/100,数值规划表!$B$37:$AA$39,3),1)</f>
        <v>1</v>
      </c>
      <c r="J508" s="31" t="s">
        <v>1672</v>
      </c>
      <c r="K508" s="15">
        <f>INDEX(数值规划表!$B$15:$B$18,MATCH(J508,攻击范围,0))</f>
        <v>0</v>
      </c>
      <c r="L508" s="30">
        <v>1</v>
      </c>
      <c r="M508" s="41">
        <v>0</v>
      </c>
      <c r="N508" s="15">
        <f t="shared" si="30"/>
        <v>0</v>
      </c>
      <c r="O508" s="15">
        <f t="shared" si="31"/>
        <v>0</v>
      </c>
      <c r="P508" s="15">
        <f>IF(G508,INDEX(monster!$J$2:$J$606,MATCH(skill!C508,monster!$A$2:$A$606,0)),Q508)</f>
        <v>0.5</v>
      </c>
      <c r="Q508" s="70">
        <v>0.5</v>
      </c>
      <c r="R508" s="33">
        <v>120</v>
      </c>
    </row>
    <row r="509" spans="1:18" s="38" customFormat="1" x14ac:dyDescent="0.15">
      <c r="A509" s="32">
        <v>10530</v>
      </c>
      <c r="B509" s="32" t="s">
        <v>1507</v>
      </c>
      <c r="C509" s="32">
        <v>1306</v>
      </c>
      <c r="D509" s="32">
        <v>1</v>
      </c>
      <c r="E509" s="15">
        <f>INDEX(monster!$H$2:$H$617,MATCH(skill!C509,monster!$A$2:$A$617,0))</f>
        <v>42.34</v>
      </c>
      <c r="F509" s="15">
        <f>INDEX(monster!$I$2:$I$617,MATCH(C509,monster!$A$2:$A$617,0))</f>
        <v>1.27</v>
      </c>
      <c r="G509" s="15" t="b">
        <f t="shared" si="29"/>
        <v>0</v>
      </c>
      <c r="H509" s="32">
        <v>0</v>
      </c>
      <c r="I509" s="15">
        <f>IF(H509&gt;0,HLOOKUP(R509/100,数值规划表!$B$37:$AA$39,3),1)</f>
        <v>1</v>
      </c>
      <c r="J509" s="31" t="s">
        <v>1672</v>
      </c>
      <c r="K509" s="15">
        <f>INDEX(数值规划表!$B$15:$B$18,MATCH(J509,攻击范围,0))</f>
        <v>0</v>
      </c>
      <c r="L509" s="30">
        <v>1</v>
      </c>
      <c r="M509" s="41">
        <v>0</v>
      </c>
      <c r="N509" s="15">
        <f t="shared" si="30"/>
        <v>0</v>
      </c>
      <c r="O509" s="15">
        <f t="shared" si="31"/>
        <v>0</v>
      </c>
      <c r="P509" s="15">
        <f>IF(G509,INDEX(monster!$J$2:$J$606,MATCH(skill!C509,monster!$A$2:$A$606,0)),Q509)</f>
        <v>0.5</v>
      </c>
      <c r="Q509" s="70">
        <v>0.5</v>
      </c>
      <c r="R509" s="33">
        <v>120</v>
      </c>
    </row>
    <row r="510" spans="1:18" s="38" customFormat="1" x14ac:dyDescent="0.15">
      <c r="A510" s="32">
        <v>10531</v>
      </c>
      <c r="B510" s="32" t="s">
        <v>928</v>
      </c>
      <c r="C510" s="32">
        <v>1307</v>
      </c>
      <c r="D510" s="32">
        <v>2</v>
      </c>
      <c r="E510" s="15">
        <f>INDEX(monster!$H$2:$H$617,MATCH(skill!C510,monster!$A$2:$A$617,0))</f>
        <v>47.42</v>
      </c>
      <c r="F510" s="15">
        <f>INDEX(monster!$I$2:$I$617,MATCH(C510,monster!$A$2:$A$617,0))</f>
        <v>1.42</v>
      </c>
      <c r="G510" s="15" t="b">
        <f t="shared" si="29"/>
        <v>0</v>
      </c>
      <c r="H510" s="32">
        <v>0</v>
      </c>
      <c r="I510" s="15">
        <f>IF(H510&gt;0,HLOOKUP(R510/100,数值规划表!$B$37:$AA$39,3),1)</f>
        <v>1</v>
      </c>
      <c r="J510" s="31" t="s">
        <v>1672</v>
      </c>
      <c r="K510" s="15">
        <f>INDEX(数值规划表!$B$15:$B$18,MATCH(J510,攻击范围,0))</f>
        <v>0</v>
      </c>
      <c r="L510" s="30">
        <v>1</v>
      </c>
      <c r="M510" s="41">
        <v>0</v>
      </c>
      <c r="N510" s="15">
        <f t="shared" si="30"/>
        <v>0</v>
      </c>
      <c r="O510" s="15">
        <f t="shared" si="31"/>
        <v>0</v>
      </c>
      <c r="P510" s="15">
        <f>IF(G510,INDEX(monster!$J$2:$J$606,MATCH(skill!C510,monster!$A$2:$A$606,0)),Q510)</f>
        <v>0.5</v>
      </c>
      <c r="Q510" s="70">
        <v>0.5</v>
      </c>
      <c r="R510" s="33">
        <v>120</v>
      </c>
    </row>
    <row r="511" spans="1:18" s="38" customFormat="1" x14ac:dyDescent="0.15">
      <c r="A511" s="32">
        <v>10532</v>
      </c>
      <c r="B511" s="32" t="s">
        <v>929</v>
      </c>
      <c r="C511" s="32">
        <v>1308</v>
      </c>
      <c r="D511" s="32">
        <v>3</v>
      </c>
      <c r="E511" s="15">
        <f>INDEX(monster!$H$2:$H$617,MATCH(skill!C511,monster!$A$2:$A$617,0))</f>
        <v>53.11</v>
      </c>
      <c r="F511" s="15">
        <f>INDEX(monster!$I$2:$I$617,MATCH(C511,monster!$A$2:$A$617,0))</f>
        <v>1.59</v>
      </c>
      <c r="G511" s="15" t="b">
        <f t="shared" si="29"/>
        <v>0</v>
      </c>
      <c r="H511" s="32">
        <v>0</v>
      </c>
      <c r="I511" s="15">
        <f>IF(H511&gt;0,HLOOKUP(R511/100,数值规划表!$B$37:$AA$39,3),1)</f>
        <v>1</v>
      </c>
      <c r="J511" s="31" t="s">
        <v>1672</v>
      </c>
      <c r="K511" s="15">
        <f>INDEX(数值规划表!$B$15:$B$18,MATCH(J511,攻击范围,0))</f>
        <v>0</v>
      </c>
      <c r="L511" s="30">
        <v>1</v>
      </c>
      <c r="M511" s="41">
        <v>0</v>
      </c>
      <c r="N511" s="15">
        <f t="shared" si="30"/>
        <v>0</v>
      </c>
      <c r="O511" s="15">
        <f t="shared" si="31"/>
        <v>0</v>
      </c>
      <c r="P511" s="15">
        <f>IF(G511,INDEX(monster!$J$2:$J$606,MATCH(skill!C511,monster!$A$2:$A$606,0)),Q511)</f>
        <v>0.5</v>
      </c>
      <c r="Q511" s="70">
        <v>0.5</v>
      </c>
      <c r="R511" s="33">
        <v>120</v>
      </c>
    </row>
    <row r="512" spans="1:18" s="38" customFormat="1" x14ac:dyDescent="0.15">
      <c r="A512" s="32">
        <v>10533</v>
      </c>
      <c r="B512" s="32" t="s">
        <v>930</v>
      </c>
      <c r="C512" s="32">
        <v>1309</v>
      </c>
      <c r="D512" s="32">
        <v>4</v>
      </c>
      <c r="E512" s="15">
        <f>INDEX(monster!$H$2:$H$617,MATCH(skill!C512,monster!$A$2:$A$617,0))</f>
        <v>59.48</v>
      </c>
      <c r="F512" s="15">
        <f>INDEX(monster!$I$2:$I$617,MATCH(C512,monster!$A$2:$A$617,0))</f>
        <v>1.78</v>
      </c>
      <c r="G512" s="15" t="b">
        <f t="shared" si="29"/>
        <v>0</v>
      </c>
      <c r="H512" s="32">
        <v>0</v>
      </c>
      <c r="I512" s="15">
        <f>IF(H512&gt;0,HLOOKUP(R512/100,数值规划表!$B$37:$AA$39,3),1)</f>
        <v>1</v>
      </c>
      <c r="J512" s="31" t="s">
        <v>1672</v>
      </c>
      <c r="K512" s="15">
        <f>INDEX(数值规划表!$B$15:$B$18,MATCH(J512,攻击范围,0))</f>
        <v>0</v>
      </c>
      <c r="L512" s="30">
        <v>1</v>
      </c>
      <c r="M512" s="41">
        <v>0</v>
      </c>
      <c r="N512" s="15">
        <f t="shared" si="30"/>
        <v>0</v>
      </c>
      <c r="O512" s="15">
        <f t="shared" si="31"/>
        <v>0</v>
      </c>
      <c r="P512" s="15">
        <f>IF(G512,INDEX(monster!$J$2:$J$606,MATCH(skill!C512,monster!$A$2:$A$606,0)),Q512)</f>
        <v>0.5</v>
      </c>
      <c r="Q512" s="70">
        <v>0.5</v>
      </c>
      <c r="R512" s="33">
        <v>120</v>
      </c>
    </row>
    <row r="513" spans="1:18" s="38" customFormat="1" x14ac:dyDescent="0.15">
      <c r="A513" s="32">
        <v>10534</v>
      </c>
      <c r="B513" s="32" t="s">
        <v>931</v>
      </c>
      <c r="C513" s="32">
        <v>1310</v>
      </c>
      <c r="D513" s="32">
        <v>5</v>
      </c>
      <c r="E513" s="15">
        <f>INDEX(monster!$H$2:$H$617,MATCH(skill!C513,monster!$A$2:$A$617,0))</f>
        <v>66.62</v>
      </c>
      <c r="F513" s="15">
        <f>INDEX(monster!$I$2:$I$617,MATCH(C513,monster!$A$2:$A$617,0))</f>
        <v>2</v>
      </c>
      <c r="G513" s="15" t="b">
        <f t="shared" si="29"/>
        <v>0</v>
      </c>
      <c r="H513" s="32">
        <v>0</v>
      </c>
      <c r="I513" s="15">
        <f>IF(H513&gt;0,HLOOKUP(R513/100,数值规划表!$B$37:$AA$39,3),1)</f>
        <v>1</v>
      </c>
      <c r="J513" s="31" t="s">
        <v>1672</v>
      </c>
      <c r="K513" s="15">
        <f>INDEX(数值规划表!$B$15:$B$18,MATCH(J513,攻击范围,0))</f>
        <v>0</v>
      </c>
      <c r="L513" s="30">
        <v>1</v>
      </c>
      <c r="M513" s="41">
        <v>0</v>
      </c>
      <c r="N513" s="15">
        <f t="shared" si="30"/>
        <v>0</v>
      </c>
      <c r="O513" s="15">
        <f t="shared" si="31"/>
        <v>0</v>
      </c>
      <c r="P513" s="15">
        <f>IF(G513,INDEX(monster!$J$2:$J$606,MATCH(skill!C513,monster!$A$2:$A$606,0)),Q513)</f>
        <v>0.5</v>
      </c>
      <c r="Q513" s="70">
        <v>0.5</v>
      </c>
      <c r="R513" s="33">
        <v>120</v>
      </c>
    </row>
    <row r="514" spans="1:18" s="38" customFormat="1" x14ac:dyDescent="0.15">
      <c r="A514" s="32">
        <v>10535</v>
      </c>
      <c r="B514" s="32" t="s">
        <v>932</v>
      </c>
      <c r="C514" s="32">
        <v>1311</v>
      </c>
      <c r="D514" s="32">
        <v>6</v>
      </c>
      <c r="E514" s="15">
        <f>INDEX(monster!$H$2:$H$617,MATCH(skill!C514,monster!$A$2:$A$617,0))</f>
        <v>74.61</v>
      </c>
      <c r="F514" s="15">
        <f>INDEX(monster!$I$2:$I$617,MATCH(C514,monster!$A$2:$A$617,0))</f>
        <v>2.2400000000000002</v>
      </c>
      <c r="G514" s="15" t="b">
        <f t="shared" si="29"/>
        <v>0</v>
      </c>
      <c r="H514" s="32">
        <v>0</v>
      </c>
      <c r="I514" s="15">
        <f>IF(H514&gt;0,HLOOKUP(R514/100,数值规划表!$B$37:$AA$39,3),1)</f>
        <v>1</v>
      </c>
      <c r="J514" s="31" t="s">
        <v>1672</v>
      </c>
      <c r="K514" s="15">
        <f>INDEX(数值规划表!$B$15:$B$18,MATCH(J514,攻击范围,0))</f>
        <v>0</v>
      </c>
      <c r="L514" s="30">
        <v>1</v>
      </c>
      <c r="M514" s="41">
        <v>0</v>
      </c>
      <c r="N514" s="15">
        <f t="shared" si="30"/>
        <v>0</v>
      </c>
      <c r="O514" s="15">
        <f t="shared" si="31"/>
        <v>0</v>
      </c>
      <c r="P514" s="15">
        <f>IF(G514,INDEX(monster!$J$2:$J$606,MATCH(skill!C514,monster!$A$2:$A$606,0)),Q514)</f>
        <v>0.5</v>
      </c>
      <c r="Q514" s="70">
        <v>0.5</v>
      </c>
      <c r="R514" s="33">
        <v>120</v>
      </c>
    </row>
    <row r="515" spans="1:18" s="38" customFormat="1" x14ac:dyDescent="0.15">
      <c r="A515" s="32">
        <v>10536</v>
      </c>
      <c r="B515" s="32" t="s">
        <v>933</v>
      </c>
      <c r="C515" s="32">
        <v>1312</v>
      </c>
      <c r="D515" s="32">
        <v>7</v>
      </c>
      <c r="E515" s="15">
        <f>INDEX(monster!$H$2:$H$617,MATCH(skill!C515,monster!$A$2:$A$617,0))</f>
        <v>83.56</v>
      </c>
      <c r="F515" s="15">
        <f>INDEX(monster!$I$2:$I$617,MATCH(C515,monster!$A$2:$A$617,0))</f>
        <v>2.5099999999999998</v>
      </c>
      <c r="G515" s="15" t="b">
        <f t="shared" si="29"/>
        <v>0</v>
      </c>
      <c r="H515" s="32">
        <v>0</v>
      </c>
      <c r="I515" s="15">
        <f>IF(H515&gt;0,HLOOKUP(R515/100,数值规划表!$B$37:$AA$39,3),1)</f>
        <v>1</v>
      </c>
      <c r="J515" s="31" t="s">
        <v>1672</v>
      </c>
      <c r="K515" s="15">
        <f>INDEX(数值规划表!$B$15:$B$18,MATCH(J515,攻击范围,0))</f>
        <v>0</v>
      </c>
      <c r="L515" s="30">
        <v>1</v>
      </c>
      <c r="M515" s="41">
        <v>0</v>
      </c>
      <c r="N515" s="15">
        <f t="shared" si="30"/>
        <v>0</v>
      </c>
      <c r="O515" s="15">
        <f t="shared" si="31"/>
        <v>0</v>
      </c>
      <c r="P515" s="15">
        <f>IF(G515,INDEX(monster!$J$2:$J$606,MATCH(skill!C515,monster!$A$2:$A$606,0)),Q515)</f>
        <v>0.5</v>
      </c>
      <c r="Q515" s="70">
        <v>0.5</v>
      </c>
      <c r="R515" s="33">
        <v>120</v>
      </c>
    </row>
    <row r="516" spans="1:18" s="38" customFormat="1" x14ac:dyDescent="0.15">
      <c r="A516" s="32">
        <v>10537</v>
      </c>
      <c r="B516" s="32" t="s">
        <v>934</v>
      </c>
      <c r="C516" s="32">
        <v>1313</v>
      </c>
      <c r="D516" s="32">
        <v>8</v>
      </c>
      <c r="E516" s="15">
        <f>INDEX(monster!$H$2:$H$617,MATCH(skill!C516,monster!$A$2:$A$617,0))</f>
        <v>93.59</v>
      </c>
      <c r="F516" s="15">
        <f>INDEX(monster!$I$2:$I$617,MATCH(C516,monster!$A$2:$A$617,0))</f>
        <v>2.81</v>
      </c>
      <c r="G516" s="15" t="b">
        <f t="shared" si="29"/>
        <v>0</v>
      </c>
      <c r="H516" s="32">
        <v>0</v>
      </c>
      <c r="I516" s="15">
        <f>IF(H516&gt;0,HLOOKUP(R516/100,数值规划表!$B$37:$AA$39,3),1)</f>
        <v>1</v>
      </c>
      <c r="J516" s="31" t="s">
        <v>1672</v>
      </c>
      <c r="K516" s="15">
        <f>INDEX(数值规划表!$B$15:$B$18,MATCH(J516,攻击范围,0))</f>
        <v>0</v>
      </c>
      <c r="L516" s="30">
        <v>1</v>
      </c>
      <c r="M516" s="41">
        <v>0</v>
      </c>
      <c r="N516" s="15">
        <f t="shared" si="30"/>
        <v>0</v>
      </c>
      <c r="O516" s="15">
        <f t="shared" si="31"/>
        <v>0</v>
      </c>
      <c r="P516" s="15">
        <f>IF(G516,INDEX(monster!$J$2:$J$606,MATCH(skill!C516,monster!$A$2:$A$606,0)),Q516)</f>
        <v>0.5</v>
      </c>
      <c r="Q516" s="70">
        <v>0.5</v>
      </c>
      <c r="R516" s="33">
        <v>120</v>
      </c>
    </row>
    <row r="517" spans="1:18" s="38" customFormat="1" x14ac:dyDescent="0.15">
      <c r="A517" s="32">
        <v>10538</v>
      </c>
      <c r="B517" s="32" t="s">
        <v>935</v>
      </c>
      <c r="C517" s="32">
        <v>1314</v>
      </c>
      <c r="D517" s="32">
        <v>9</v>
      </c>
      <c r="E517" s="15">
        <f>INDEX(monster!$H$2:$H$617,MATCH(skill!C517,monster!$A$2:$A$617,0))</f>
        <v>104.82</v>
      </c>
      <c r="F517" s="15">
        <f>INDEX(monster!$I$2:$I$617,MATCH(C517,monster!$A$2:$A$617,0))</f>
        <v>3.14</v>
      </c>
      <c r="G517" s="15" t="b">
        <f t="shared" si="29"/>
        <v>0</v>
      </c>
      <c r="H517" s="32">
        <v>0</v>
      </c>
      <c r="I517" s="15">
        <f>IF(H517&gt;0,HLOOKUP(R517/100,数值规划表!$B$37:$AA$39,3),1)</f>
        <v>1</v>
      </c>
      <c r="J517" s="31" t="s">
        <v>1672</v>
      </c>
      <c r="K517" s="15">
        <f>INDEX(数值规划表!$B$15:$B$18,MATCH(J517,攻击范围,0))</f>
        <v>0</v>
      </c>
      <c r="L517" s="30">
        <v>1</v>
      </c>
      <c r="M517" s="41">
        <v>0</v>
      </c>
      <c r="N517" s="15">
        <f t="shared" si="30"/>
        <v>0</v>
      </c>
      <c r="O517" s="15">
        <f t="shared" si="31"/>
        <v>0</v>
      </c>
      <c r="P517" s="15">
        <f>IF(G517,INDEX(monster!$J$2:$J$606,MATCH(skill!C517,monster!$A$2:$A$606,0)),Q517)</f>
        <v>0.5</v>
      </c>
      <c r="Q517" s="70">
        <v>0.5</v>
      </c>
      <c r="R517" s="33">
        <v>120</v>
      </c>
    </row>
    <row r="518" spans="1:18" s="38" customFormat="1" x14ac:dyDescent="0.15">
      <c r="A518" s="32">
        <v>10539</v>
      </c>
      <c r="B518" s="32" t="s">
        <v>936</v>
      </c>
      <c r="C518" s="32">
        <v>1315</v>
      </c>
      <c r="D518" s="32">
        <v>10</v>
      </c>
      <c r="E518" s="15">
        <f>INDEX(monster!$H$2:$H$617,MATCH(skill!C518,monster!$A$2:$A$617,0))</f>
        <v>117.4</v>
      </c>
      <c r="F518" s="15">
        <f>INDEX(monster!$I$2:$I$617,MATCH(C518,monster!$A$2:$A$617,0))</f>
        <v>3.52</v>
      </c>
      <c r="G518" s="15" t="b">
        <f t="shared" si="29"/>
        <v>0</v>
      </c>
      <c r="H518" s="32">
        <v>0</v>
      </c>
      <c r="I518" s="15">
        <f>IF(H518&gt;0,HLOOKUP(R518/100,数值规划表!$B$37:$AA$39,3),1)</f>
        <v>1</v>
      </c>
      <c r="J518" s="31" t="s">
        <v>1672</v>
      </c>
      <c r="K518" s="15">
        <f>INDEX(数值规划表!$B$15:$B$18,MATCH(J518,攻击范围,0))</f>
        <v>0</v>
      </c>
      <c r="L518" s="30">
        <v>1</v>
      </c>
      <c r="M518" s="41">
        <v>0</v>
      </c>
      <c r="N518" s="15">
        <f t="shared" si="30"/>
        <v>0</v>
      </c>
      <c r="O518" s="15">
        <f t="shared" si="31"/>
        <v>0</v>
      </c>
      <c r="P518" s="15">
        <f>IF(G518,INDEX(monster!$J$2:$J$606,MATCH(skill!C518,monster!$A$2:$A$606,0)),Q518)</f>
        <v>0.5</v>
      </c>
      <c r="Q518" s="70">
        <v>0.5</v>
      </c>
      <c r="R518" s="33">
        <v>120</v>
      </c>
    </row>
    <row r="519" spans="1:18" s="38" customFormat="1" x14ac:dyDescent="0.15">
      <c r="A519" s="32">
        <v>10540</v>
      </c>
      <c r="B519" s="32" t="s">
        <v>1508</v>
      </c>
      <c r="C519" s="32">
        <v>1316</v>
      </c>
      <c r="D519" s="32">
        <v>0</v>
      </c>
      <c r="E519" s="15">
        <f>INDEX(monster!$H$2:$H$617,MATCH(skill!C519,monster!$A$2:$A$617,0))</f>
        <v>30.1</v>
      </c>
      <c r="F519" s="15">
        <f>INDEX(monster!$I$2:$I$617,MATCH(C519,monster!$A$2:$A$617,0))</f>
        <v>0.9</v>
      </c>
      <c r="G519" s="15" t="b">
        <f t="shared" si="29"/>
        <v>1</v>
      </c>
      <c r="H519" s="32">
        <v>1</v>
      </c>
      <c r="I519" s="15">
        <f>IF(H519&gt;0,HLOOKUP(R519/100,数值规划表!$B$37:$AA$39,3),1)</f>
        <v>1</v>
      </c>
      <c r="J519" s="31" t="s">
        <v>1625</v>
      </c>
      <c r="K519" s="15">
        <f>INDEX(数值规划表!$B$15:$B$18,MATCH(J519,攻击范围,0))</f>
        <v>1</v>
      </c>
      <c r="L519" s="30">
        <v>1</v>
      </c>
      <c r="M519" s="41">
        <v>0</v>
      </c>
      <c r="N519" s="15">
        <f t="shared" si="30"/>
        <v>30</v>
      </c>
      <c r="O519" s="15">
        <f t="shared" si="31"/>
        <v>0.9</v>
      </c>
      <c r="P519" s="15">
        <f>IF(G519,INDEX(monster!$J$2:$J$606,MATCH(skill!C519,monster!$A$2:$A$606,0)),Q519)</f>
        <v>1.2</v>
      </c>
      <c r="Q519" s="70"/>
      <c r="R519" s="33">
        <v>100</v>
      </c>
    </row>
    <row r="520" spans="1:18" s="38" customFormat="1" x14ac:dyDescent="0.15">
      <c r="A520" s="32">
        <v>10541</v>
      </c>
      <c r="B520" s="32" t="s">
        <v>1509</v>
      </c>
      <c r="C520" s="32">
        <v>1317</v>
      </c>
      <c r="D520" s="32">
        <v>1</v>
      </c>
      <c r="E520" s="15">
        <f>INDEX(monster!$H$2:$H$617,MATCH(skill!C520,monster!$A$2:$A$617,0))</f>
        <v>33.71</v>
      </c>
      <c r="F520" s="15">
        <f>INDEX(monster!$I$2:$I$617,MATCH(C520,monster!$A$2:$A$617,0))</f>
        <v>1.01</v>
      </c>
      <c r="G520" s="15" t="b">
        <f t="shared" si="29"/>
        <v>1</v>
      </c>
      <c r="H520" s="32">
        <v>1</v>
      </c>
      <c r="I520" s="15">
        <f>IF(H520&gt;0,HLOOKUP(R520/100,数值规划表!$B$37:$AA$39,3),1)</f>
        <v>1</v>
      </c>
      <c r="J520" s="31" t="s">
        <v>1625</v>
      </c>
      <c r="K520" s="15">
        <f>INDEX(数值规划表!$B$15:$B$18,MATCH(J520,攻击范围,0))</f>
        <v>1</v>
      </c>
      <c r="L520" s="30">
        <v>1</v>
      </c>
      <c r="M520" s="41">
        <v>0</v>
      </c>
      <c r="N520" s="15">
        <f t="shared" si="30"/>
        <v>34</v>
      </c>
      <c r="O520" s="15">
        <f t="shared" si="31"/>
        <v>1.01</v>
      </c>
      <c r="P520" s="15">
        <f>IF(G520,INDEX(monster!$J$2:$J$606,MATCH(skill!C520,monster!$A$2:$A$606,0)),Q520)</f>
        <v>1.2</v>
      </c>
      <c r="Q520" s="70"/>
      <c r="R520" s="33">
        <v>100</v>
      </c>
    </row>
    <row r="521" spans="1:18" s="38" customFormat="1" x14ac:dyDescent="0.15">
      <c r="A521" s="32">
        <v>10542</v>
      </c>
      <c r="B521" s="32" t="s">
        <v>937</v>
      </c>
      <c r="C521" s="32">
        <v>1318</v>
      </c>
      <c r="D521" s="32">
        <v>2</v>
      </c>
      <c r="E521" s="15">
        <f>INDEX(monster!$H$2:$H$617,MATCH(skill!C521,monster!$A$2:$A$617,0))</f>
        <v>37.76</v>
      </c>
      <c r="F521" s="15">
        <f>INDEX(monster!$I$2:$I$617,MATCH(C521,monster!$A$2:$A$617,0))</f>
        <v>1.1299999999999999</v>
      </c>
      <c r="G521" s="15" t="b">
        <f t="shared" si="29"/>
        <v>1</v>
      </c>
      <c r="H521" s="32">
        <v>1</v>
      </c>
      <c r="I521" s="15">
        <f>IF(H521&gt;0,HLOOKUP(R521/100,数值规划表!$B$37:$AA$39,3),1)</f>
        <v>1</v>
      </c>
      <c r="J521" s="31" t="s">
        <v>1625</v>
      </c>
      <c r="K521" s="15">
        <f>INDEX(数值规划表!$B$15:$B$18,MATCH(J521,攻击范围,0))</f>
        <v>1</v>
      </c>
      <c r="L521" s="30">
        <v>1</v>
      </c>
      <c r="M521" s="41">
        <v>0</v>
      </c>
      <c r="N521" s="15">
        <f t="shared" si="30"/>
        <v>38</v>
      </c>
      <c r="O521" s="15">
        <f t="shared" si="31"/>
        <v>1.1299999999999999</v>
      </c>
      <c r="P521" s="15">
        <f>IF(G521,INDEX(monster!$J$2:$J$606,MATCH(skill!C521,monster!$A$2:$A$606,0)),Q521)</f>
        <v>1.2</v>
      </c>
      <c r="Q521" s="70"/>
      <c r="R521" s="33">
        <v>100</v>
      </c>
    </row>
    <row r="522" spans="1:18" s="38" customFormat="1" x14ac:dyDescent="0.15">
      <c r="A522" s="32">
        <v>10543</v>
      </c>
      <c r="B522" s="32" t="s">
        <v>938</v>
      </c>
      <c r="C522" s="32">
        <v>1319</v>
      </c>
      <c r="D522" s="32">
        <v>3</v>
      </c>
      <c r="E522" s="15">
        <f>INDEX(monster!$H$2:$H$617,MATCH(skill!C522,monster!$A$2:$A$617,0))</f>
        <v>42.29</v>
      </c>
      <c r="F522" s="15">
        <f>INDEX(monster!$I$2:$I$617,MATCH(C522,monster!$A$2:$A$617,0))</f>
        <v>1.27</v>
      </c>
      <c r="G522" s="15" t="b">
        <f t="shared" si="29"/>
        <v>1</v>
      </c>
      <c r="H522" s="32">
        <v>1</v>
      </c>
      <c r="I522" s="15">
        <f>IF(H522&gt;0,HLOOKUP(R522/100,数值规划表!$B$37:$AA$39,3),1)</f>
        <v>1</v>
      </c>
      <c r="J522" s="31" t="s">
        <v>1625</v>
      </c>
      <c r="K522" s="15">
        <f>INDEX(数值规划表!$B$15:$B$18,MATCH(J522,攻击范围,0))</f>
        <v>1</v>
      </c>
      <c r="L522" s="30">
        <v>1</v>
      </c>
      <c r="M522" s="41">
        <v>0</v>
      </c>
      <c r="N522" s="15">
        <f t="shared" si="30"/>
        <v>42</v>
      </c>
      <c r="O522" s="15">
        <f t="shared" si="31"/>
        <v>1.27</v>
      </c>
      <c r="P522" s="15">
        <f>IF(G522,INDEX(monster!$J$2:$J$606,MATCH(skill!C522,monster!$A$2:$A$606,0)),Q522)</f>
        <v>1.2</v>
      </c>
      <c r="Q522" s="70"/>
      <c r="R522" s="33">
        <v>100</v>
      </c>
    </row>
    <row r="523" spans="1:18" s="38" customFormat="1" x14ac:dyDescent="0.15">
      <c r="A523" s="32">
        <v>10544</v>
      </c>
      <c r="B523" s="32" t="s">
        <v>939</v>
      </c>
      <c r="C523" s="32">
        <v>1320</v>
      </c>
      <c r="D523" s="32">
        <v>4</v>
      </c>
      <c r="E523" s="15">
        <f>INDEX(monster!$H$2:$H$617,MATCH(skill!C523,monster!$A$2:$A$617,0))</f>
        <v>47.36</v>
      </c>
      <c r="F523" s="15">
        <f>INDEX(monster!$I$2:$I$617,MATCH(C523,monster!$A$2:$A$617,0))</f>
        <v>1.42</v>
      </c>
      <c r="G523" s="15" t="b">
        <f t="shared" si="29"/>
        <v>1</v>
      </c>
      <c r="H523" s="32">
        <v>1</v>
      </c>
      <c r="I523" s="15">
        <f>IF(H523&gt;0,HLOOKUP(R523/100,数值规划表!$B$37:$AA$39,3),1)</f>
        <v>1</v>
      </c>
      <c r="J523" s="31" t="s">
        <v>1625</v>
      </c>
      <c r="K523" s="15">
        <f>INDEX(数值规划表!$B$15:$B$18,MATCH(J523,攻击范围,0))</f>
        <v>1</v>
      </c>
      <c r="L523" s="30">
        <v>1</v>
      </c>
      <c r="M523" s="41">
        <v>0</v>
      </c>
      <c r="N523" s="15">
        <f t="shared" si="30"/>
        <v>47</v>
      </c>
      <c r="O523" s="15">
        <f t="shared" si="31"/>
        <v>1.42</v>
      </c>
      <c r="P523" s="15">
        <f>IF(G523,INDEX(monster!$J$2:$J$606,MATCH(skill!C523,monster!$A$2:$A$606,0)),Q523)</f>
        <v>1.2</v>
      </c>
      <c r="Q523" s="70"/>
      <c r="R523" s="33">
        <v>100</v>
      </c>
    </row>
    <row r="524" spans="1:18" s="38" customFormat="1" x14ac:dyDescent="0.15">
      <c r="A524" s="32">
        <v>10545</v>
      </c>
      <c r="B524" s="32" t="s">
        <v>940</v>
      </c>
      <c r="C524" s="32">
        <v>1321</v>
      </c>
      <c r="D524" s="32">
        <v>5</v>
      </c>
      <c r="E524" s="15">
        <f>INDEX(monster!$H$2:$H$617,MATCH(skill!C524,monster!$A$2:$A$617,0))</f>
        <v>53.05</v>
      </c>
      <c r="F524" s="15">
        <f>INDEX(monster!$I$2:$I$617,MATCH(C524,monster!$A$2:$A$617,0))</f>
        <v>1.59</v>
      </c>
      <c r="G524" s="15" t="b">
        <f t="shared" si="29"/>
        <v>1</v>
      </c>
      <c r="H524" s="32">
        <v>1</v>
      </c>
      <c r="I524" s="15">
        <f>IF(H524&gt;0,HLOOKUP(R524/100,数值规划表!$B$37:$AA$39,3),1)</f>
        <v>1</v>
      </c>
      <c r="J524" s="31" t="s">
        <v>1625</v>
      </c>
      <c r="K524" s="15">
        <f>INDEX(数值规划表!$B$15:$B$18,MATCH(J524,攻击范围,0))</f>
        <v>1</v>
      </c>
      <c r="L524" s="30">
        <v>1</v>
      </c>
      <c r="M524" s="41">
        <v>0</v>
      </c>
      <c r="N524" s="15">
        <f t="shared" si="30"/>
        <v>53</v>
      </c>
      <c r="O524" s="15">
        <f t="shared" si="31"/>
        <v>1.59</v>
      </c>
      <c r="P524" s="15">
        <f>IF(G524,INDEX(monster!$J$2:$J$606,MATCH(skill!C524,monster!$A$2:$A$606,0)),Q524)</f>
        <v>1.2</v>
      </c>
      <c r="Q524" s="70"/>
      <c r="R524" s="33">
        <v>100</v>
      </c>
    </row>
    <row r="525" spans="1:18" s="38" customFormat="1" x14ac:dyDescent="0.15">
      <c r="A525" s="32">
        <v>10546</v>
      </c>
      <c r="B525" s="32" t="s">
        <v>941</v>
      </c>
      <c r="C525" s="32">
        <v>1322</v>
      </c>
      <c r="D525" s="32">
        <v>6</v>
      </c>
      <c r="E525" s="15">
        <f>INDEX(monster!$H$2:$H$617,MATCH(skill!C525,monster!$A$2:$A$617,0))</f>
        <v>59.41</v>
      </c>
      <c r="F525" s="15">
        <f>INDEX(monster!$I$2:$I$617,MATCH(C525,monster!$A$2:$A$617,0))</f>
        <v>1.78</v>
      </c>
      <c r="G525" s="15" t="b">
        <f t="shared" si="29"/>
        <v>1</v>
      </c>
      <c r="H525" s="32">
        <v>1</v>
      </c>
      <c r="I525" s="15">
        <f>IF(H525&gt;0,HLOOKUP(R525/100,数值规划表!$B$37:$AA$39,3),1)</f>
        <v>1</v>
      </c>
      <c r="J525" s="31" t="s">
        <v>1625</v>
      </c>
      <c r="K525" s="15">
        <f>INDEX(数值规划表!$B$15:$B$18,MATCH(J525,攻击范围,0))</f>
        <v>1</v>
      </c>
      <c r="L525" s="30">
        <v>1</v>
      </c>
      <c r="M525" s="41">
        <v>0</v>
      </c>
      <c r="N525" s="15">
        <f t="shared" si="30"/>
        <v>59</v>
      </c>
      <c r="O525" s="15">
        <f t="shared" si="31"/>
        <v>1.78</v>
      </c>
      <c r="P525" s="15">
        <f>IF(G525,INDEX(monster!$J$2:$J$606,MATCH(skill!C525,monster!$A$2:$A$606,0)),Q525)</f>
        <v>1.2</v>
      </c>
      <c r="Q525" s="70"/>
      <c r="R525" s="33">
        <v>100</v>
      </c>
    </row>
    <row r="526" spans="1:18" s="38" customFormat="1" x14ac:dyDescent="0.15">
      <c r="A526" s="32">
        <v>10547</v>
      </c>
      <c r="B526" s="32" t="s">
        <v>942</v>
      </c>
      <c r="C526" s="32">
        <v>1323</v>
      </c>
      <c r="D526" s="32">
        <v>7</v>
      </c>
      <c r="E526" s="15">
        <f>INDEX(monster!$H$2:$H$617,MATCH(skill!C526,monster!$A$2:$A$617,0))</f>
        <v>66.540000000000006</v>
      </c>
      <c r="F526" s="15">
        <f>INDEX(monster!$I$2:$I$617,MATCH(C526,monster!$A$2:$A$617,0))</f>
        <v>2</v>
      </c>
      <c r="G526" s="15" t="b">
        <f t="shared" si="29"/>
        <v>1</v>
      </c>
      <c r="H526" s="32">
        <v>1</v>
      </c>
      <c r="I526" s="15">
        <f>IF(H526&gt;0,HLOOKUP(R526/100,数值规划表!$B$37:$AA$39,3),1)</f>
        <v>1</v>
      </c>
      <c r="J526" s="31" t="s">
        <v>1625</v>
      </c>
      <c r="K526" s="15">
        <f>INDEX(数值规划表!$B$15:$B$18,MATCH(J526,攻击范围,0))</f>
        <v>1</v>
      </c>
      <c r="L526" s="30">
        <v>1</v>
      </c>
      <c r="M526" s="41">
        <v>0</v>
      </c>
      <c r="N526" s="15">
        <f t="shared" si="30"/>
        <v>67</v>
      </c>
      <c r="O526" s="15">
        <f t="shared" si="31"/>
        <v>2</v>
      </c>
      <c r="P526" s="15">
        <f>IF(G526,INDEX(monster!$J$2:$J$606,MATCH(skill!C526,monster!$A$2:$A$606,0)),Q526)</f>
        <v>1.2</v>
      </c>
      <c r="Q526" s="70"/>
      <c r="R526" s="33">
        <v>100</v>
      </c>
    </row>
    <row r="527" spans="1:18" s="38" customFormat="1" x14ac:dyDescent="0.15">
      <c r="A527" s="32">
        <v>10548</v>
      </c>
      <c r="B527" s="32" t="s">
        <v>943</v>
      </c>
      <c r="C527" s="32">
        <v>1324</v>
      </c>
      <c r="D527" s="32">
        <v>8</v>
      </c>
      <c r="E527" s="15">
        <f>INDEX(monster!$H$2:$H$617,MATCH(skill!C527,monster!$A$2:$A$617,0))</f>
        <v>74.53</v>
      </c>
      <c r="F527" s="15">
        <f>INDEX(monster!$I$2:$I$617,MATCH(C527,monster!$A$2:$A$617,0))</f>
        <v>2.2400000000000002</v>
      </c>
      <c r="G527" s="15" t="b">
        <f t="shared" si="29"/>
        <v>1</v>
      </c>
      <c r="H527" s="32">
        <v>1</v>
      </c>
      <c r="I527" s="15">
        <f>IF(H527&gt;0,HLOOKUP(R527/100,数值规划表!$B$37:$AA$39,3),1)</f>
        <v>1</v>
      </c>
      <c r="J527" s="31" t="s">
        <v>1625</v>
      </c>
      <c r="K527" s="15">
        <f>INDEX(数值规划表!$B$15:$B$18,MATCH(J527,攻击范围,0))</f>
        <v>1</v>
      </c>
      <c r="L527" s="30">
        <v>1</v>
      </c>
      <c r="M527" s="41">
        <v>0</v>
      </c>
      <c r="N527" s="15">
        <f t="shared" si="30"/>
        <v>75</v>
      </c>
      <c r="O527" s="15">
        <f t="shared" si="31"/>
        <v>2.2400000000000002</v>
      </c>
      <c r="P527" s="15">
        <f>IF(G527,INDEX(monster!$J$2:$J$606,MATCH(skill!C527,monster!$A$2:$A$606,0)),Q527)</f>
        <v>1.2</v>
      </c>
      <c r="Q527" s="70"/>
      <c r="R527" s="33">
        <v>100</v>
      </c>
    </row>
    <row r="528" spans="1:18" s="38" customFormat="1" x14ac:dyDescent="0.15">
      <c r="A528" s="32">
        <v>10549</v>
      </c>
      <c r="B528" s="32" t="s">
        <v>944</v>
      </c>
      <c r="C528" s="32">
        <v>1325</v>
      </c>
      <c r="D528" s="32">
        <v>9</v>
      </c>
      <c r="E528" s="15">
        <f>INDEX(monster!$H$2:$H$617,MATCH(skill!C528,monster!$A$2:$A$617,0))</f>
        <v>83.47</v>
      </c>
      <c r="F528" s="15">
        <f>INDEX(monster!$I$2:$I$617,MATCH(C528,monster!$A$2:$A$617,0))</f>
        <v>2.5</v>
      </c>
      <c r="G528" s="15" t="b">
        <f t="shared" si="29"/>
        <v>1</v>
      </c>
      <c r="H528" s="32">
        <v>1</v>
      </c>
      <c r="I528" s="15">
        <f>IF(H528&gt;0,HLOOKUP(R528/100,数值规划表!$B$37:$AA$39,3),1)</f>
        <v>1</v>
      </c>
      <c r="J528" s="31" t="s">
        <v>1625</v>
      </c>
      <c r="K528" s="15">
        <f>INDEX(数值规划表!$B$15:$B$18,MATCH(J528,攻击范围,0))</f>
        <v>1</v>
      </c>
      <c r="L528" s="30">
        <v>1</v>
      </c>
      <c r="M528" s="41">
        <v>0</v>
      </c>
      <c r="N528" s="15">
        <f t="shared" si="30"/>
        <v>83</v>
      </c>
      <c r="O528" s="15">
        <f t="shared" si="31"/>
        <v>2.5</v>
      </c>
      <c r="P528" s="15">
        <f>IF(G528,INDEX(monster!$J$2:$J$606,MATCH(skill!C528,monster!$A$2:$A$606,0)),Q528)</f>
        <v>1.2</v>
      </c>
      <c r="Q528" s="70"/>
      <c r="R528" s="33">
        <v>100</v>
      </c>
    </row>
    <row r="529" spans="1:18" s="38" customFormat="1" x14ac:dyDescent="0.15">
      <c r="A529" s="32">
        <v>10550</v>
      </c>
      <c r="B529" s="32" t="s">
        <v>945</v>
      </c>
      <c r="C529" s="32">
        <v>1326</v>
      </c>
      <c r="D529" s="32">
        <v>10</v>
      </c>
      <c r="E529" s="15">
        <f>INDEX(monster!$H$2:$H$617,MATCH(skill!C529,monster!$A$2:$A$617,0))</f>
        <v>93.49</v>
      </c>
      <c r="F529" s="15">
        <f>INDEX(monster!$I$2:$I$617,MATCH(C529,monster!$A$2:$A$617,0))</f>
        <v>2.8</v>
      </c>
      <c r="G529" s="15" t="b">
        <f t="shared" si="29"/>
        <v>1</v>
      </c>
      <c r="H529" s="32">
        <v>1</v>
      </c>
      <c r="I529" s="15">
        <f>IF(H529&gt;0,HLOOKUP(R529/100,数值规划表!$B$37:$AA$39,3),1)</f>
        <v>1</v>
      </c>
      <c r="J529" s="31" t="s">
        <v>1625</v>
      </c>
      <c r="K529" s="15">
        <f>INDEX(数值规划表!$B$15:$B$18,MATCH(J529,攻击范围,0))</f>
        <v>1</v>
      </c>
      <c r="L529" s="30">
        <v>1</v>
      </c>
      <c r="M529" s="41">
        <v>0</v>
      </c>
      <c r="N529" s="15">
        <f t="shared" si="30"/>
        <v>93</v>
      </c>
      <c r="O529" s="15">
        <f t="shared" si="31"/>
        <v>2.8</v>
      </c>
      <c r="P529" s="15">
        <f>IF(G529,INDEX(monster!$J$2:$J$606,MATCH(skill!C529,monster!$A$2:$A$606,0)),Q529)</f>
        <v>1.2</v>
      </c>
      <c r="Q529" s="70"/>
      <c r="R529" s="33">
        <v>100</v>
      </c>
    </row>
    <row r="530" spans="1:18" s="38" customFormat="1" x14ac:dyDescent="0.15">
      <c r="A530" s="32">
        <v>10551</v>
      </c>
      <c r="B530" s="32" t="s">
        <v>1510</v>
      </c>
      <c r="C530" s="31">
        <v>1327</v>
      </c>
      <c r="D530" s="32">
        <v>0</v>
      </c>
      <c r="E530" s="15">
        <f>INDEX(monster!$H$2:$H$617,MATCH(skill!C530,monster!$A$2:$A$617,0))</f>
        <v>68.319999999999993</v>
      </c>
      <c r="F530" s="15">
        <f>INDEX(monster!$I$2:$I$617,MATCH(C530,monster!$A$2:$A$617,0))</f>
        <v>2.0499999999999998</v>
      </c>
      <c r="G530" s="15" t="b">
        <f t="shared" si="29"/>
        <v>1</v>
      </c>
      <c r="H530" s="32">
        <v>1</v>
      </c>
      <c r="I530" s="15">
        <f>IF(H530&gt;0,HLOOKUP(R530/100,数值规划表!$B$37:$AA$39,3),1)</f>
        <v>2.3760000000000003</v>
      </c>
      <c r="J530" s="31" t="s">
        <v>1625</v>
      </c>
      <c r="K530" s="15">
        <f>INDEX(数值规划表!$B$15:$B$18,MATCH(J530,攻击范围,0))</f>
        <v>1</v>
      </c>
      <c r="L530" s="30">
        <v>1</v>
      </c>
      <c r="M530" s="41">
        <v>0</v>
      </c>
      <c r="N530" s="15">
        <f t="shared" si="30"/>
        <v>162</v>
      </c>
      <c r="O530" s="15">
        <f t="shared" si="31"/>
        <v>4.87</v>
      </c>
      <c r="P530" s="15">
        <f>IF(G530,INDEX(monster!$J$2:$J$606,MATCH(skill!C530,monster!$A$2:$A$606,0)),Q530)</f>
        <v>1.2</v>
      </c>
      <c r="Q530" s="70"/>
      <c r="R530" s="33">
        <v>180</v>
      </c>
    </row>
    <row r="531" spans="1:18" s="38" customFormat="1" x14ac:dyDescent="0.15">
      <c r="A531" s="32">
        <v>10552</v>
      </c>
      <c r="B531" s="32" t="s">
        <v>946</v>
      </c>
      <c r="C531" s="31">
        <v>1328</v>
      </c>
      <c r="D531" s="32">
        <v>1</v>
      </c>
      <c r="E531" s="15">
        <f>INDEX(monster!$H$2:$H$617,MATCH(skill!C531,monster!$A$2:$A$617,0))</f>
        <v>76.52</v>
      </c>
      <c r="F531" s="15">
        <f>INDEX(monster!$I$2:$I$617,MATCH(C531,monster!$A$2:$A$617,0))</f>
        <v>2.2999999999999998</v>
      </c>
      <c r="G531" s="15" t="b">
        <f t="shared" si="29"/>
        <v>1</v>
      </c>
      <c r="H531" s="32">
        <v>1</v>
      </c>
      <c r="I531" s="15">
        <f>IF(H531&gt;0,HLOOKUP(R531/100,数值规划表!$B$37:$AA$39,3),1)</f>
        <v>2.3760000000000003</v>
      </c>
      <c r="J531" s="31" t="s">
        <v>1625</v>
      </c>
      <c r="K531" s="15">
        <f>INDEX(数值规划表!$B$15:$B$18,MATCH(J531,攻击范围,0))</f>
        <v>1</v>
      </c>
      <c r="L531" s="30">
        <v>1</v>
      </c>
      <c r="M531" s="41">
        <v>0</v>
      </c>
      <c r="N531" s="15">
        <f t="shared" si="30"/>
        <v>182</v>
      </c>
      <c r="O531" s="15">
        <f t="shared" si="31"/>
        <v>5.46</v>
      </c>
      <c r="P531" s="15">
        <f>IF(G531,INDEX(monster!$J$2:$J$606,MATCH(skill!C531,monster!$A$2:$A$606,0)),Q531)</f>
        <v>1.2</v>
      </c>
      <c r="Q531" s="70"/>
      <c r="R531" s="33">
        <v>180</v>
      </c>
    </row>
    <row r="532" spans="1:18" s="38" customFormat="1" x14ac:dyDescent="0.15">
      <c r="A532" s="32">
        <v>10553</v>
      </c>
      <c r="B532" s="32" t="s">
        <v>947</v>
      </c>
      <c r="C532" s="31">
        <v>1329</v>
      </c>
      <c r="D532" s="32">
        <v>2</v>
      </c>
      <c r="E532" s="15">
        <f>INDEX(monster!$H$2:$H$617,MATCH(skill!C532,monster!$A$2:$A$617,0))</f>
        <v>85.7</v>
      </c>
      <c r="F532" s="15">
        <f>INDEX(monster!$I$2:$I$617,MATCH(C532,monster!$A$2:$A$617,0))</f>
        <v>2.57</v>
      </c>
      <c r="G532" s="15" t="b">
        <f t="shared" si="29"/>
        <v>1</v>
      </c>
      <c r="H532" s="32">
        <v>1</v>
      </c>
      <c r="I532" s="15">
        <f>IF(H532&gt;0,HLOOKUP(R532/100,数值规划表!$B$37:$AA$39,3),1)</f>
        <v>2.3760000000000003</v>
      </c>
      <c r="J532" s="31" t="s">
        <v>1625</v>
      </c>
      <c r="K532" s="15">
        <f>INDEX(数值规划表!$B$15:$B$18,MATCH(J532,攻击范围,0))</f>
        <v>1</v>
      </c>
      <c r="L532" s="30">
        <v>1</v>
      </c>
      <c r="M532" s="41">
        <v>0</v>
      </c>
      <c r="N532" s="15">
        <f t="shared" si="30"/>
        <v>204</v>
      </c>
      <c r="O532" s="15">
        <f t="shared" si="31"/>
        <v>6.11</v>
      </c>
      <c r="P532" s="15">
        <f>IF(G532,INDEX(monster!$J$2:$J$606,MATCH(skill!C532,monster!$A$2:$A$606,0)),Q532)</f>
        <v>1.2</v>
      </c>
      <c r="Q532" s="70"/>
      <c r="R532" s="33">
        <v>180</v>
      </c>
    </row>
    <row r="533" spans="1:18" s="38" customFormat="1" x14ac:dyDescent="0.15">
      <c r="A533" s="32">
        <v>10554</v>
      </c>
      <c r="B533" s="32" t="s">
        <v>948</v>
      </c>
      <c r="C533" s="31">
        <v>1330</v>
      </c>
      <c r="D533" s="32">
        <v>3</v>
      </c>
      <c r="E533" s="15">
        <f>INDEX(monster!$H$2:$H$617,MATCH(skill!C533,monster!$A$2:$A$617,0))</f>
        <v>95.98</v>
      </c>
      <c r="F533" s="15">
        <f>INDEX(monster!$I$2:$I$617,MATCH(C533,monster!$A$2:$A$617,0))</f>
        <v>2.88</v>
      </c>
      <c r="G533" s="15" t="b">
        <f t="shared" si="29"/>
        <v>1</v>
      </c>
      <c r="H533" s="32">
        <v>1</v>
      </c>
      <c r="I533" s="15">
        <f>IF(H533&gt;0,HLOOKUP(R533/100,数值规划表!$B$37:$AA$39,3),1)</f>
        <v>2.3760000000000003</v>
      </c>
      <c r="J533" s="31" t="s">
        <v>1625</v>
      </c>
      <c r="K533" s="15">
        <f>INDEX(数值规划表!$B$15:$B$18,MATCH(J533,攻击范围,0))</f>
        <v>1</v>
      </c>
      <c r="L533" s="30">
        <v>1</v>
      </c>
      <c r="M533" s="41">
        <v>0</v>
      </c>
      <c r="N533" s="15">
        <f t="shared" si="30"/>
        <v>228</v>
      </c>
      <c r="O533" s="15">
        <f t="shared" si="31"/>
        <v>6.84</v>
      </c>
      <c r="P533" s="15">
        <f>IF(G533,INDEX(monster!$J$2:$J$606,MATCH(skill!C533,monster!$A$2:$A$606,0)),Q533)</f>
        <v>1.2</v>
      </c>
      <c r="Q533" s="70"/>
      <c r="R533" s="33">
        <v>180</v>
      </c>
    </row>
    <row r="534" spans="1:18" s="38" customFormat="1" x14ac:dyDescent="0.15">
      <c r="A534" s="32">
        <v>10555</v>
      </c>
      <c r="B534" s="32" t="s">
        <v>949</v>
      </c>
      <c r="C534" s="31">
        <v>1331</v>
      </c>
      <c r="D534" s="32">
        <v>4</v>
      </c>
      <c r="E534" s="15">
        <f>INDEX(monster!$H$2:$H$617,MATCH(skill!C534,monster!$A$2:$A$617,0))</f>
        <v>107.5</v>
      </c>
      <c r="F534" s="15">
        <f>INDEX(monster!$I$2:$I$617,MATCH(C534,monster!$A$2:$A$617,0))</f>
        <v>3.23</v>
      </c>
      <c r="G534" s="15" t="b">
        <f t="shared" si="29"/>
        <v>1</v>
      </c>
      <c r="H534" s="32">
        <v>1</v>
      </c>
      <c r="I534" s="15">
        <f>IF(H534&gt;0,HLOOKUP(R534/100,数值规划表!$B$37:$AA$39,3),1)</f>
        <v>2.3760000000000003</v>
      </c>
      <c r="J534" s="31" t="s">
        <v>1625</v>
      </c>
      <c r="K534" s="15">
        <f>INDEX(数值规划表!$B$15:$B$18,MATCH(J534,攻击范围,0))</f>
        <v>1</v>
      </c>
      <c r="L534" s="30">
        <v>1</v>
      </c>
      <c r="M534" s="41">
        <v>0</v>
      </c>
      <c r="N534" s="15">
        <f t="shared" si="30"/>
        <v>255</v>
      </c>
      <c r="O534" s="15">
        <f t="shared" si="31"/>
        <v>7.67</v>
      </c>
      <c r="P534" s="15">
        <f>IF(G534,INDEX(monster!$J$2:$J$606,MATCH(skill!C534,monster!$A$2:$A$606,0)),Q534)</f>
        <v>1.2</v>
      </c>
      <c r="Q534" s="70"/>
      <c r="R534" s="33">
        <v>180</v>
      </c>
    </row>
    <row r="535" spans="1:18" s="38" customFormat="1" x14ac:dyDescent="0.15">
      <c r="A535" s="32">
        <v>10556</v>
      </c>
      <c r="B535" s="32" t="s">
        <v>950</v>
      </c>
      <c r="C535" s="31">
        <v>1332</v>
      </c>
      <c r="D535" s="32">
        <v>5</v>
      </c>
      <c r="E535" s="15">
        <f>INDEX(monster!$H$2:$H$617,MATCH(skill!C535,monster!$A$2:$A$617,0))</f>
        <v>120.4</v>
      </c>
      <c r="F535" s="15">
        <f>INDEX(monster!$I$2:$I$617,MATCH(C535,monster!$A$2:$A$617,0))</f>
        <v>3.61</v>
      </c>
      <c r="G535" s="15" t="b">
        <f t="shared" si="29"/>
        <v>1</v>
      </c>
      <c r="H535" s="32">
        <v>1</v>
      </c>
      <c r="I535" s="15">
        <f>IF(H535&gt;0,HLOOKUP(R535/100,数值规划表!$B$37:$AA$39,3),1)</f>
        <v>2.3760000000000003</v>
      </c>
      <c r="J535" s="31" t="s">
        <v>1625</v>
      </c>
      <c r="K535" s="15">
        <f>INDEX(数值规划表!$B$15:$B$18,MATCH(J535,攻击范围,0))</f>
        <v>1</v>
      </c>
      <c r="L535" s="30">
        <v>1</v>
      </c>
      <c r="M535" s="41">
        <v>0</v>
      </c>
      <c r="N535" s="15">
        <f t="shared" si="30"/>
        <v>286</v>
      </c>
      <c r="O535" s="15">
        <f t="shared" si="31"/>
        <v>8.58</v>
      </c>
      <c r="P535" s="15">
        <f>IF(G535,INDEX(monster!$J$2:$J$606,MATCH(skill!C535,monster!$A$2:$A$606,0)),Q535)</f>
        <v>1.2</v>
      </c>
      <c r="Q535" s="70"/>
      <c r="R535" s="33">
        <v>180</v>
      </c>
    </row>
    <row r="536" spans="1:18" s="38" customFormat="1" x14ac:dyDescent="0.15">
      <c r="A536" s="32">
        <v>10557</v>
      </c>
      <c r="B536" s="32" t="s">
        <v>951</v>
      </c>
      <c r="C536" s="31">
        <v>1333</v>
      </c>
      <c r="D536" s="32">
        <v>6</v>
      </c>
      <c r="E536" s="15">
        <f>INDEX(monster!$H$2:$H$617,MATCH(skill!C536,monster!$A$2:$A$617,0))</f>
        <v>134.85</v>
      </c>
      <c r="F536" s="15">
        <f>INDEX(monster!$I$2:$I$617,MATCH(C536,monster!$A$2:$A$617,0))</f>
        <v>4.05</v>
      </c>
      <c r="G536" s="15" t="b">
        <f t="shared" si="29"/>
        <v>1</v>
      </c>
      <c r="H536" s="32">
        <v>1</v>
      </c>
      <c r="I536" s="15">
        <f>IF(H536&gt;0,HLOOKUP(R536/100,数值规划表!$B$37:$AA$39,3),1)</f>
        <v>2.3760000000000003</v>
      </c>
      <c r="J536" s="31" t="s">
        <v>1625</v>
      </c>
      <c r="K536" s="15">
        <f>INDEX(数值规划表!$B$15:$B$18,MATCH(J536,攻击范围,0))</f>
        <v>1</v>
      </c>
      <c r="L536" s="30">
        <v>1</v>
      </c>
      <c r="M536" s="41">
        <v>0</v>
      </c>
      <c r="N536" s="15">
        <f t="shared" si="30"/>
        <v>320</v>
      </c>
      <c r="O536" s="15">
        <f t="shared" si="31"/>
        <v>9.6199999999999992</v>
      </c>
      <c r="P536" s="15">
        <f>IF(G536,INDEX(monster!$J$2:$J$606,MATCH(skill!C536,monster!$A$2:$A$606,0)),Q536)</f>
        <v>1.2</v>
      </c>
      <c r="Q536" s="70"/>
      <c r="R536" s="33">
        <v>180</v>
      </c>
    </row>
    <row r="537" spans="1:18" s="38" customFormat="1" x14ac:dyDescent="0.15">
      <c r="A537" s="32">
        <v>10558</v>
      </c>
      <c r="B537" s="32" t="s">
        <v>952</v>
      </c>
      <c r="C537" s="31">
        <v>1334</v>
      </c>
      <c r="D537" s="32">
        <v>7</v>
      </c>
      <c r="E537" s="15">
        <f>INDEX(monster!$H$2:$H$617,MATCH(skill!C537,monster!$A$2:$A$617,0))</f>
        <v>151.03</v>
      </c>
      <c r="F537" s="15">
        <f>INDEX(monster!$I$2:$I$617,MATCH(C537,monster!$A$2:$A$617,0))</f>
        <v>4.53</v>
      </c>
      <c r="G537" s="15" t="b">
        <f t="shared" si="29"/>
        <v>1</v>
      </c>
      <c r="H537" s="32">
        <v>1</v>
      </c>
      <c r="I537" s="15">
        <f>IF(H537&gt;0,HLOOKUP(R537/100,数值规划表!$B$37:$AA$39,3),1)</f>
        <v>2.3760000000000003</v>
      </c>
      <c r="J537" s="31" t="s">
        <v>1625</v>
      </c>
      <c r="K537" s="15">
        <f>INDEX(数值规划表!$B$15:$B$18,MATCH(J537,攻击范围,0))</f>
        <v>1</v>
      </c>
      <c r="L537" s="30">
        <v>1</v>
      </c>
      <c r="M537" s="41">
        <v>0</v>
      </c>
      <c r="N537" s="15">
        <f t="shared" si="30"/>
        <v>359</v>
      </c>
      <c r="O537" s="15">
        <f t="shared" si="31"/>
        <v>10.76</v>
      </c>
      <c r="P537" s="15">
        <f>IF(G537,INDEX(monster!$J$2:$J$606,MATCH(skill!C537,monster!$A$2:$A$606,0)),Q537)</f>
        <v>1.2</v>
      </c>
      <c r="Q537" s="70"/>
      <c r="R537" s="33">
        <v>180</v>
      </c>
    </row>
    <row r="538" spans="1:18" s="38" customFormat="1" x14ac:dyDescent="0.15">
      <c r="A538" s="32">
        <v>10559</v>
      </c>
      <c r="B538" s="32" t="s">
        <v>953</v>
      </c>
      <c r="C538" s="31">
        <v>1335</v>
      </c>
      <c r="D538" s="32">
        <v>8</v>
      </c>
      <c r="E538" s="15">
        <f>INDEX(monster!$H$2:$H$617,MATCH(skill!C538,monster!$A$2:$A$617,0))</f>
        <v>169.16</v>
      </c>
      <c r="F538" s="15">
        <f>INDEX(monster!$I$2:$I$617,MATCH(C538,monster!$A$2:$A$617,0))</f>
        <v>5.07</v>
      </c>
      <c r="G538" s="15" t="b">
        <f t="shared" si="29"/>
        <v>1</v>
      </c>
      <c r="H538" s="32">
        <v>1</v>
      </c>
      <c r="I538" s="15">
        <f>IF(H538&gt;0,HLOOKUP(R538/100,数值规划表!$B$37:$AA$39,3),1)</f>
        <v>2.3760000000000003</v>
      </c>
      <c r="J538" s="31" t="s">
        <v>1625</v>
      </c>
      <c r="K538" s="15">
        <f>INDEX(数值规划表!$B$15:$B$18,MATCH(J538,攻击范围,0))</f>
        <v>1</v>
      </c>
      <c r="L538" s="30">
        <v>1</v>
      </c>
      <c r="M538" s="41">
        <v>0</v>
      </c>
      <c r="N538" s="15">
        <f t="shared" si="30"/>
        <v>402</v>
      </c>
      <c r="O538" s="15">
        <f t="shared" si="31"/>
        <v>12.05</v>
      </c>
      <c r="P538" s="15">
        <f>IF(G538,INDEX(monster!$J$2:$J$606,MATCH(skill!C538,monster!$A$2:$A$606,0)),Q538)</f>
        <v>1.2</v>
      </c>
      <c r="Q538" s="70"/>
      <c r="R538" s="33">
        <v>180</v>
      </c>
    </row>
    <row r="539" spans="1:18" s="38" customFormat="1" x14ac:dyDescent="0.15">
      <c r="A539" s="32">
        <v>10560</v>
      </c>
      <c r="B539" s="32" t="s">
        <v>954</v>
      </c>
      <c r="C539" s="31">
        <v>1336</v>
      </c>
      <c r="D539" s="32">
        <v>9</v>
      </c>
      <c r="E539" s="15">
        <f>INDEX(monster!$H$2:$H$617,MATCH(skill!C539,monster!$A$2:$A$617,0))</f>
        <v>189.46</v>
      </c>
      <c r="F539" s="15">
        <f>INDEX(monster!$I$2:$I$617,MATCH(C539,monster!$A$2:$A$617,0))</f>
        <v>5.68</v>
      </c>
      <c r="G539" s="15" t="b">
        <f t="shared" si="29"/>
        <v>1</v>
      </c>
      <c r="H539" s="32">
        <v>1</v>
      </c>
      <c r="I539" s="15">
        <f>IF(H539&gt;0,HLOOKUP(R539/100,数值规划表!$B$37:$AA$39,3),1)</f>
        <v>2.3760000000000003</v>
      </c>
      <c r="J539" s="31" t="s">
        <v>1625</v>
      </c>
      <c r="K539" s="15">
        <f>INDEX(数值规划表!$B$15:$B$18,MATCH(J539,攻击范围,0))</f>
        <v>1</v>
      </c>
      <c r="L539" s="30">
        <v>1</v>
      </c>
      <c r="M539" s="41">
        <v>0</v>
      </c>
      <c r="N539" s="15">
        <f t="shared" si="30"/>
        <v>450</v>
      </c>
      <c r="O539" s="15">
        <f t="shared" si="31"/>
        <v>13.5</v>
      </c>
      <c r="P539" s="15">
        <f>IF(G539,INDEX(monster!$J$2:$J$606,MATCH(skill!C539,monster!$A$2:$A$606,0)),Q539)</f>
        <v>1.2</v>
      </c>
      <c r="Q539" s="70"/>
      <c r="R539" s="33">
        <v>180</v>
      </c>
    </row>
    <row r="540" spans="1:18" s="38" customFormat="1" x14ac:dyDescent="0.15">
      <c r="A540" s="32">
        <v>10561</v>
      </c>
      <c r="B540" s="32" t="s">
        <v>955</v>
      </c>
      <c r="C540" s="31">
        <v>1337</v>
      </c>
      <c r="D540" s="32">
        <v>10</v>
      </c>
      <c r="E540" s="15">
        <f>INDEX(monster!$H$2:$H$617,MATCH(skill!C540,monster!$A$2:$A$617,0))</f>
        <v>212.19</v>
      </c>
      <c r="F540" s="15">
        <f>INDEX(monster!$I$2:$I$617,MATCH(C540,monster!$A$2:$A$617,0))</f>
        <v>6.37</v>
      </c>
      <c r="G540" s="15" t="b">
        <f t="shared" si="29"/>
        <v>1</v>
      </c>
      <c r="H540" s="32">
        <v>1</v>
      </c>
      <c r="I540" s="15">
        <f>IF(H540&gt;0,HLOOKUP(R540/100,数值规划表!$B$37:$AA$39,3),1)</f>
        <v>2.3760000000000003</v>
      </c>
      <c r="J540" s="31" t="s">
        <v>1625</v>
      </c>
      <c r="K540" s="15">
        <f>INDEX(数值规划表!$B$15:$B$18,MATCH(J540,攻击范围,0))</f>
        <v>1</v>
      </c>
      <c r="L540" s="30">
        <v>1</v>
      </c>
      <c r="M540" s="41">
        <v>0</v>
      </c>
      <c r="N540" s="15">
        <f t="shared" si="30"/>
        <v>504</v>
      </c>
      <c r="O540" s="15">
        <f t="shared" si="31"/>
        <v>15.14</v>
      </c>
      <c r="P540" s="15">
        <f>IF(G540,INDEX(monster!$J$2:$J$606,MATCH(skill!C540,monster!$A$2:$A$606,0)),Q540)</f>
        <v>1.2</v>
      </c>
      <c r="Q540" s="70"/>
      <c r="R540" s="33">
        <v>180</v>
      </c>
    </row>
    <row r="541" spans="1:18" s="38" customFormat="1" x14ac:dyDescent="0.15">
      <c r="A541" s="32">
        <v>10562</v>
      </c>
      <c r="B541" s="32" t="s">
        <v>1511</v>
      </c>
      <c r="C541" s="31">
        <v>1327</v>
      </c>
      <c r="D541" s="32">
        <v>0</v>
      </c>
      <c r="E541" s="15">
        <f>INDEX(数值规划表!$G$79:$G$89,$D541+1)</f>
        <v>310</v>
      </c>
      <c r="F541" s="15">
        <f>INDEX(数值规划表!$H$79:$H$89,$D541+1)</f>
        <v>9.2899999999999991</v>
      </c>
      <c r="G541" s="15" t="b">
        <f t="shared" si="29"/>
        <v>0</v>
      </c>
      <c r="H541" s="31">
        <v>0</v>
      </c>
      <c r="I541" s="15">
        <f>IF(H541&gt;0,HLOOKUP(R541/100,数值规划表!$B$37:$AA$39,3),1)</f>
        <v>1</v>
      </c>
      <c r="J541" s="31" t="s">
        <v>1627</v>
      </c>
      <c r="K541" s="15">
        <f>INDEX(数值规划表!$B$15:$B$18,MATCH(J541,攻击范围,0))</f>
        <v>0.7</v>
      </c>
      <c r="L541" s="30">
        <v>0.15</v>
      </c>
      <c r="M541" s="41">
        <v>0</v>
      </c>
      <c r="N541" s="15">
        <f t="shared" si="30"/>
        <v>33</v>
      </c>
      <c r="O541" s="15">
        <f t="shared" si="31"/>
        <v>0.98</v>
      </c>
      <c r="P541" s="15">
        <f>IF(G541,INDEX(monster!$J$2:$J$606,MATCH(skill!C541,monster!$A$2:$A$606,0)),Q541)</f>
        <v>0.5</v>
      </c>
      <c r="Q541" s="70">
        <v>0.5</v>
      </c>
      <c r="R541" s="33">
        <v>1500</v>
      </c>
    </row>
    <row r="542" spans="1:18" s="38" customFormat="1" x14ac:dyDescent="0.15">
      <c r="A542" s="32">
        <v>10563</v>
      </c>
      <c r="B542" s="32" t="s">
        <v>956</v>
      </c>
      <c r="C542" s="31">
        <v>1328</v>
      </c>
      <c r="D542" s="32">
        <v>1</v>
      </c>
      <c r="E542" s="15">
        <f>INDEX(数值规划表!$G$79:$G$89,$D542+1)</f>
        <v>347</v>
      </c>
      <c r="F542" s="15">
        <f>INDEX(数值规划表!$H$79:$H$89,$D542+1)</f>
        <v>10.4</v>
      </c>
      <c r="G542" s="15" t="b">
        <f t="shared" si="29"/>
        <v>0</v>
      </c>
      <c r="H542" s="31">
        <v>0</v>
      </c>
      <c r="I542" s="15">
        <f>IF(H542&gt;0,HLOOKUP(R542/100,数值规划表!$B$37:$AA$39,3),1)</f>
        <v>1</v>
      </c>
      <c r="J542" s="31" t="s">
        <v>1627</v>
      </c>
      <c r="K542" s="15">
        <f>INDEX(数值规划表!$B$15:$B$18,MATCH(J542,攻击范围,0))</f>
        <v>0.7</v>
      </c>
      <c r="L542" s="70">
        <v>0.15</v>
      </c>
      <c r="M542" s="41">
        <v>0</v>
      </c>
      <c r="N542" s="15">
        <f t="shared" si="30"/>
        <v>36</v>
      </c>
      <c r="O542" s="15">
        <f t="shared" si="31"/>
        <v>1.0900000000000001</v>
      </c>
      <c r="P542" s="15">
        <f>IF(G542,INDEX(monster!$J$2:$J$606,MATCH(skill!C542,monster!$A$2:$A$606,0)),Q542)</f>
        <v>0.5</v>
      </c>
      <c r="Q542" s="70">
        <v>0.5</v>
      </c>
      <c r="R542" s="33">
        <v>1500</v>
      </c>
    </row>
    <row r="543" spans="1:18" s="38" customFormat="1" x14ac:dyDescent="0.15">
      <c r="A543" s="32">
        <v>10564</v>
      </c>
      <c r="B543" s="32" t="s">
        <v>957</v>
      </c>
      <c r="C543" s="31">
        <v>1329</v>
      </c>
      <c r="D543" s="32">
        <v>2</v>
      </c>
      <c r="E543" s="15">
        <f>INDEX(数值规划表!$G$79:$G$89,$D543+1)</f>
        <v>388</v>
      </c>
      <c r="F543" s="15">
        <f>INDEX(数值规划表!$H$79:$H$89,$D543+1)</f>
        <v>11.65</v>
      </c>
      <c r="G543" s="15" t="b">
        <f t="shared" si="29"/>
        <v>0</v>
      </c>
      <c r="H543" s="31">
        <v>0</v>
      </c>
      <c r="I543" s="15">
        <f>IF(H543&gt;0,HLOOKUP(R543/100,数值规划表!$B$37:$AA$39,3),1)</f>
        <v>1</v>
      </c>
      <c r="J543" s="31" t="s">
        <v>1627</v>
      </c>
      <c r="K543" s="15">
        <f>INDEX(数值规划表!$B$15:$B$18,MATCH(J543,攻击范围,0))</f>
        <v>0.7</v>
      </c>
      <c r="L543" s="70">
        <v>0.15</v>
      </c>
      <c r="M543" s="41">
        <v>0</v>
      </c>
      <c r="N543" s="15">
        <f t="shared" si="30"/>
        <v>41</v>
      </c>
      <c r="O543" s="15">
        <f t="shared" si="31"/>
        <v>1.22</v>
      </c>
      <c r="P543" s="15">
        <f>IF(G543,INDEX(monster!$J$2:$J$606,MATCH(skill!C543,monster!$A$2:$A$606,0)),Q543)</f>
        <v>0.5</v>
      </c>
      <c r="Q543" s="70">
        <v>0.5</v>
      </c>
      <c r="R543" s="33">
        <v>1500</v>
      </c>
    </row>
    <row r="544" spans="1:18" s="38" customFormat="1" x14ac:dyDescent="0.15">
      <c r="A544" s="32">
        <v>10565</v>
      </c>
      <c r="B544" s="32" t="s">
        <v>958</v>
      </c>
      <c r="C544" s="31">
        <v>1330</v>
      </c>
      <c r="D544" s="32">
        <v>3</v>
      </c>
      <c r="E544" s="15">
        <f>INDEX(数值规划表!$G$79:$G$89,$D544+1)</f>
        <v>435</v>
      </c>
      <c r="F544" s="15">
        <f>INDEX(数值规划表!$H$79:$H$89,$D544+1)</f>
        <v>13.05</v>
      </c>
      <c r="G544" s="15" t="b">
        <f t="shared" si="29"/>
        <v>0</v>
      </c>
      <c r="H544" s="31">
        <v>0</v>
      </c>
      <c r="I544" s="15">
        <f>IF(H544&gt;0,HLOOKUP(R544/100,数值规划表!$B$37:$AA$39,3),1)</f>
        <v>1</v>
      </c>
      <c r="J544" s="31" t="s">
        <v>1627</v>
      </c>
      <c r="K544" s="15">
        <f>INDEX(数值规划表!$B$15:$B$18,MATCH(J544,攻击范围,0))</f>
        <v>0.7</v>
      </c>
      <c r="L544" s="70">
        <v>0.15</v>
      </c>
      <c r="M544" s="41">
        <v>0</v>
      </c>
      <c r="N544" s="15">
        <f t="shared" si="30"/>
        <v>46</v>
      </c>
      <c r="O544" s="15">
        <f t="shared" si="31"/>
        <v>1.37</v>
      </c>
      <c r="P544" s="15">
        <f>IF(G544,INDEX(monster!$J$2:$J$606,MATCH(skill!C544,monster!$A$2:$A$606,0)),Q544)</f>
        <v>0.5</v>
      </c>
      <c r="Q544" s="70">
        <v>0.5</v>
      </c>
      <c r="R544" s="33">
        <v>1500</v>
      </c>
    </row>
    <row r="545" spans="1:18" s="38" customFormat="1" x14ac:dyDescent="0.15">
      <c r="A545" s="32">
        <v>10566</v>
      </c>
      <c r="B545" s="32" t="s">
        <v>959</v>
      </c>
      <c r="C545" s="31">
        <v>1331</v>
      </c>
      <c r="D545" s="32">
        <v>4</v>
      </c>
      <c r="E545" s="15">
        <f>INDEX(数值规划表!$G$79:$G$89,$D545+1)</f>
        <v>487</v>
      </c>
      <c r="F545" s="15">
        <f>INDEX(数值规划表!$H$79:$H$89,$D545+1)</f>
        <v>14.61</v>
      </c>
      <c r="G545" s="15" t="b">
        <f t="shared" si="29"/>
        <v>0</v>
      </c>
      <c r="H545" s="31">
        <v>0</v>
      </c>
      <c r="I545" s="15">
        <f>IF(H545&gt;0,HLOOKUP(R545/100,数值规划表!$B$37:$AA$39,3),1)</f>
        <v>1</v>
      </c>
      <c r="J545" s="31" t="s">
        <v>1627</v>
      </c>
      <c r="K545" s="15">
        <f>INDEX(数值规划表!$B$15:$B$18,MATCH(J545,攻击范围,0))</f>
        <v>0.7</v>
      </c>
      <c r="L545" s="70">
        <v>0.15</v>
      </c>
      <c r="M545" s="41">
        <v>0</v>
      </c>
      <c r="N545" s="15">
        <f t="shared" si="30"/>
        <v>51</v>
      </c>
      <c r="O545" s="15">
        <f t="shared" si="31"/>
        <v>1.53</v>
      </c>
      <c r="P545" s="15">
        <f>IF(G545,INDEX(monster!$J$2:$J$606,MATCH(skill!C545,monster!$A$2:$A$606,0)),Q545)</f>
        <v>0.5</v>
      </c>
      <c r="Q545" s="70">
        <v>0.5</v>
      </c>
      <c r="R545" s="33">
        <v>1500</v>
      </c>
    </row>
    <row r="546" spans="1:18" s="38" customFormat="1" x14ac:dyDescent="0.15">
      <c r="A546" s="32">
        <v>10567</v>
      </c>
      <c r="B546" s="32" t="s">
        <v>960</v>
      </c>
      <c r="C546" s="31">
        <v>1332</v>
      </c>
      <c r="D546" s="32">
        <v>5</v>
      </c>
      <c r="E546" s="15">
        <f>INDEX(数值规划表!$G$79:$G$89,$D546+1)</f>
        <v>546</v>
      </c>
      <c r="F546" s="15">
        <f>INDEX(数值规划表!$H$79:$H$89,$D546+1)</f>
        <v>16.37</v>
      </c>
      <c r="G546" s="15" t="b">
        <f t="shared" si="29"/>
        <v>0</v>
      </c>
      <c r="H546" s="31">
        <v>0</v>
      </c>
      <c r="I546" s="15">
        <f>IF(H546&gt;0,HLOOKUP(R546/100,数值规划表!$B$37:$AA$39,3),1)</f>
        <v>1</v>
      </c>
      <c r="J546" s="31" t="s">
        <v>1627</v>
      </c>
      <c r="K546" s="15">
        <f>INDEX(数值规划表!$B$15:$B$18,MATCH(J546,攻击范围,0))</f>
        <v>0.7</v>
      </c>
      <c r="L546" s="70">
        <v>0.15</v>
      </c>
      <c r="M546" s="41">
        <v>0</v>
      </c>
      <c r="N546" s="15">
        <f t="shared" si="30"/>
        <v>57</v>
      </c>
      <c r="O546" s="15">
        <f t="shared" si="31"/>
        <v>1.72</v>
      </c>
      <c r="P546" s="15">
        <f>IF(G546,INDEX(monster!$J$2:$J$606,MATCH(skill!C546,monster!$A$2:$A$606,0)),Q546)</f>
        <v>0.5</v>
      </c>
      <c r="Q546" s="70">
        <v>0.5</v>
      </c>
      <c r="R546" s="33">
        <v>1500</v>
      </c>
    </row>
    <row r="547" spans="1:18" s="38" customFormat="1" x14ac:dyDescent="0.15">
      <c r="A547" s="32">
        <v>10568</v>
      </c>
      <c r="B547" s="32" t="s">
        <v>961</v>
      </c>
      <c r="C547" s="31">
        <v>1333</v>
      </c>
      <c r="D547" s="32">
        <v>6</v>
      </c>
      <c r="E547" s="15">
        <f>INDEX(数值规划表!$G$79:$G$89,$D547+1)</f>
        <v>611</v>
      </c>
      <c r="F547" s="15">
        <f>INDEX(数值规划表!$H$79:$H$89,$D547+1)</f>
        <v>18.329999999999998</v>
      </c>
      <c r="G547" s="15" t="b">
        <f t="shared" si="29"/>
        <v>0</v>
      </c>
      <c r="H547" s="31">
        <v>0</v>
      </c>
      <c r="I547" s="15">
        <f>IF(H547&gt;0,HLOOKUP(R547/100,数值规划表!$B$37:$AA$39,3),1)</f>
        <v>1</v>
      </c>
      <c r="J547" s="31" t="s">
        <v>1627</v>
      </c>
      <c r="K547" s="15">
        <f>INDEX(数值规划表!$B$15:$B$18,MATCH(J547,攻击范围,0))</f>
        <v>0.7</v>
      </c>
      <c r="L547" s="70">
        <v>0.15</v>
      </c>
      <c r="M547" s="41">
        <v>0</v>
      </c>
      <c r="N547" s="15">
        <f t="shared" si="30"/>
        <v>64</v>
      </c>
      <c r="O547" s="15">
        <f t="shared" si="31"/>
        <v>1.92</v>
      </c>
      <c r="P547" s="15">
        <f>IF(G547,INDEX(monster!$J$2:$J$606,MATCH(skill!C547,monster!$A$2:$A$606,0)),Q547)</f>
        <v>0.5</v>
      </c>
      <c r="Q547" s="70">
        <v>0.5</v>
      </c>
      <c r="R547" s="33">
        <v>1500</v>
      </c>
    </row>
    <row r="548" spans="1:18" s="38" customFormat="1" x14ac:dyDescent="0.15">
      <c r="A548" s="32">
        <v>10569</v>
      </c>
      <c r="B548" s="32" t="s">
        <v>962</v>
      </c>
      <c r="C548" s="31">
        <v>1334</v>
      </c>
      <c r="D548" s="32">
        <v>7</v>
      </c>
      <c r="E548" s="15">
        <f>INDEX(数值规划表!$G$79:$G$89,$D548+1)</f>
        <v>684</v>
      </c>
      <c r="F548" s="15">
        <f>INDEX(数值规划表!$H$79:$H$89,$D548+1)</f>
        <v>20.53</v>
      </c>
      <c r="G548" s="15" t="b">
        <f t="shared" si="29"/>
        <v>0</v>
      </c>
      <c r="H548" s="31">
        <v>0</v>
      </c>
      <c r="I548" s="15">
        <f>IF(H548&gt;0,HLOOKUP(R548/100,数值规划表!$B$37:$AA$39,3),1)</f>
        <v>1</v>
      </c>
      <c r="J548" s="31" t="s">
        <v>1627</v>
      </c>
      <c r="K548" s="15">
        <f>INDEX(数值规划表!$B$15:$B$18,MATCH(J548,攻击范围,0))</f>
        <v>0.7</v>
      </c>
      <c r="L548" s="70">
        <v>0.15</v>
      </c>
      <c r="M548" s="41">
        <v>0</v>
      </c>
      <c r="N548" s="15">
        <f t="shared" si="30"/>
        <v>72</v>
      </c>
      <c r="O548" s="15">
        <f t="shared" si="31"/>
        <v>2.16</v>
      </c>
      <c r="P548" s="15">
        <f>IF(G548,INDEX(monster!$J$2:$J$606,MATCH(skill!C548,monster!$A$2:$A$606,0)),Q548)</f>
        <v>0.5</v>
      </c>
      <c r="Q548" s="70">
        <v>0.5</v>
      </c>
      <c r="R548" s="33">
        <v>1500</v>
      </c>
    </row>
    <row r="549" spans="1:18" s="38" customFormat="1" x14ac:dyDescent="0.15">
      <c r="A549" s="32">
        <v>10570</v>
      </c>
      <c r="B549" s="32" t="s">
        <v>963</v>
      </c>
      <c r="C549" s="31">
        <v>1335</v>
      </c>
      <c r="D549" s="32">
        <v>8</v>
      </c>
      <c r="E549" s="15">
        <f>INDEX(数值规划表!$G$79:$G$89,$D549+1)</f>
        <v>766</v>
      </c>
      <c r="F549" s="15">
        <f>INDEX(数值规划表!$H$79:$H$89,$D549+1)</f>
        <v>22.99</v>
      </c>
      <c r="G549" s="15" t="b">
        <f t="shared" si="29"/>
        <v>0</v>
      </c>
      <c r="H549" s="31">
        <v>0</v>
      </c>
      <c r="I549" s="15">
        <f>IF(H549&gt;0,HLOOKUP(R549/100,数值规划表!$B$37:$AA$39,3),1)</f>
        <v>1</v>
      </c>
      <c r="J549" s="31" t="s">
        <v>1627</v>
      </c>
      <c r="K549" s="15">
        <f>INDEX(数值规划表!$B$15:$B$18,MATCH(J549,攻击范围,0))</f>
        <v>0.7</v>
      </c>
      <c r="L549" s="70">
        <v>0.15</v>
      </c>
      <c r="M549" s="41">
        <v>0</v>
      </c>
      <c r="N549" s="15">
        <f t="shared" si="30"/>
        <v>80</v>
      </c>
      <c r="O549" s="15">
        <f t="shared" si="31"/>
        <v>2.41</v>
      </c>
      <c r="P549" s="15">
        <f>IF(G549,INDEX(monster!$J$2:$J$606,MATCH(skill!C549,monster!$A$2:$A$606,0)),Q549)</f>
        <v>0.5</v>
      </c>
      <c r="Q549" s="70">
        <v>0.5</v>
      </c>
      <c r="R549" s="33">
        <v>1500</v>
      </c>
    </row>
    <row r="550" spans="1:18" s="38" customFormat="1" x14ac:dyDescent="0.15">
      <c r="A550" s="32">
        <v>10571</v>
      </c>
      <c r="B550" s="32" t="s">
        <v>964</v>
      </c>
      <c r="C550" s="31">
        <v>1336</v>
      </c>
      <c r="D550" s="32">
        <v>9</v>
      </c>
      <c r="E550" s="15">
        <f>INDEX(数值规划表!$G$79:$G$89,$D550+1)</f>
        <v>858</v>
      </c>
      <c r="F550" s="15">
        <f>INDEX(数值规划表!$H$79:$H$89,$D550+1)</f>
        <v>25.75</v>
      </c>
      <c r="G550" s="15" t="b">
        <f t="shared" si="29"/>
        <v>0</v>
      </c>
      <c r="H550" s="31">
        <v>0</v>
      </c>
      <c r="I550" s="15">
        <f>IF(H550&gt;0,HLOOKUP(R550/100,数值规划表!$B$37:$AA$39,3),1)</f>
        <v>1</v>
      </c>
      <c r="J550" s="31" t="s">
        <v>1627</v>
      </c>
      <c r="K550" s="15">
        <f>INDEX(数值规划表!$B$15:$B$18,MATCH(J550,攻击范围,0))</f>
        <v>0.7</v>
      </c>
      <c r="L550" s="70">
        <v>0.15</v>
      </c>
      <c r="M550" s="41">
        <v>0</v>
      </c>
      <c r="N550" s="15">
        <f t="shared" si="30"/>
        <v>90</v>
      </c>
      <c r="O550" s="15">
        <f t="shared" si="31"/>
        <v>2.7</v>
      </c>
      <c r="P550" s="15">
        <f>IF(G550,INDEX(monster!$J$2:$J$606,MATCH(skill!C550,monster!$A$2:$A$606,0)),Q550)</f>
        <v>0.5</v>
      </c>
      <c r="Q550" s="70">
        <v>0.5</v>
      </c>
      <c r="R550" s="33">
        <v>1500</v>
      </c>
    </row>
    <row r="551" spans="1:18" s="38" customFormat="1" x14ac:dyDescent="0.15">
      <c r="A551" s="32">
        <v>10572</v>
      </c>
      <c r="B551" s="32" t="s">
        <v>965</v>
      </c>
      <c r="C551" s="31">
        <v>1337</v>
      </c>
      <c r="D551" s="32">
        <v>10</v>
      </c>
      <c r="E551" s="15">
        <f>INDEX(数值规划表!$G$79:$G$89,$D551+1)</f>
        <v>961</v>
      </c>
      <c r="F551" s="15">
        <f>INDEX(数值规划表!$H$79:$H$89,$D551+1)</f>
        <v>28.84</v>
      </c>
      <c r="G551" s="15" t="b">
        <f t="shared" si="29"/>
        <v>0</v>
      </c>
      <c r="H551" s="31">
        <v>0</v>
      </c>
      <c r="I551" s="15">
        <f>IF(H551&gt;0,HLOOKUP(R551/100,数值规划表!$B$37:$AA$39,3),1)</f>
        <v>1</v>
      </c>
      <c r="J551" s="31" t="s">
        <v>1627</v>
      </c>
      <c r="K551" s="15">
        <f>INDEX(数值规划表!$B$15:$B$18,MATCH(J551,攻击范围,0))</f>
        <v>0.7</v>
      </c>
      <c r="L551" s="70">
        <v>0.15</v>
      </c>
      <c r="M551" s="41">
        <v>0</v>
      </c>
      <c r="N551" s="15">
        <f t="shared" si="30"/>
        <v>101</v>
      </c>
      <c r="O551" s="15">
        <f t="shared" si="31"/>
        <v>3.03</v>
      </c>
      <c r="P551" s="15">
        <f>IF(G551,INDEX(monster!$J$2:$J$606,MATCH(skill!C551,monster!$A$2:$A$606,0)),Q551)</f>
        <v>0.5</v>
      </c>
      <c r="Q551" s="70">
        <v>0.5</v>
      </c>
      <c r="R551" s="33">
        <v>1500</v>
      </c>
    </row>
    <row r="552" spans="1:18" s="38" customFormat="1" x14ac:dyDescent="0.15">
      <c r="A552" s="32">
        <v>10573</v>
      </c>
      <c r="B552" s="32" t="s">
        <v>1512</v>
      </c>
      <c r="C552" s="31">
        <v>1195</v>
      </c>
      <c r="D552" s="32">
        <v>0</v>
      </c>
      <c r="E552" s="15">
        <f>INDEX(monster!$H$2:$H$617,MATCH(skill!C552,monster!$A$2:$A$617,0))</f>
        <v>58.49</v>
      </c>
      <c r="F552" s="15">
        <f>INDEX(monster!$I$2:$I$617,MATCH(C552,monster!$A$2:$A$617,0))</f>
        <v>1.75</v>
      </c>
      <c r="G552" s="15" t="b">
        <v>1</v>
      </c>
      <c r="H552" s="31">
        <v>0</v>
      </c>
      <c r="I552" s="15">
        <f>IF(H552&gt;0,HLOOKUP(R552/100,数值规划表!$B$37:$AA$39,3),1)</f>
        <v>1</v>
      </c>
      <c r="J552" s="31" t="s">
        <v>1625</v>
      </c>
      <c r="K552" s="15">
        <f>INDEX(数值规划表!$B$15:$B$18,MATCH(J552,攻击范围,0))</f>
        <v>1</v>
      </c>
      <c r="L552" s="30">
        <v>2</v>
      </c>
      <c r="M552" s="41">
        <v>0</v>
      </c>
      <c r="N552" s="15">
        <f t="shared" si="30"/>
        <v>117</v>
      </c>
      <c r="O552" s="15">
        <f t="shared" si="31"/>
        <v>3.5</v>
      </c>
      <c r="P552" s="15">
        <f>IF(G552,INDEX(monster!$J$2:$J$606,MATCH(skill!C552,monster!$A$2:$A$606,0)),Q552)</f>
        <v>5</v>
      </c>
      <c r="Q552" s="70"/>
      <c r="R552" s="33">
        <v>500</v>
      </c>
    </row>
    <row r="553" spans="1:18" s="38" customFormat="1" x14ac:dyDescent="0.15">
      <c r="A553" s="32">
        <v>10574</v>
      </c>
      <c r="B553" s="32" t="s">
        <v>1513</v>
      </c>
      <c r="C553" s="31">
        <v>1196</v>
      </c>
      <c r="D553" s="32">
        <v>1</v>
      </c>
      <c r="E553" s="15">
        <f>INDEX(monster!$H$2:$H$617,MATCH(skill!C553,monster!$A$2:$A$617,0))</f>
        <v>65.510000000000005</v>
      </c>
      <c r="F553" s="15">
        <f>INDEX(monster!$I$2:$I$617,MATCH(C553,monster!$A$2:$A$617,0))</f>
        <v>1.97</v>
      </c>
      <c r="G553" s="15" t="b">
        <v>1</v>
      </c>
      <c r="H553" s="31">
        <v>0</v>
      </c>
      <c r="I553" s="15">
        <f>IF(H553&gt;0,HLOOKUP(R553/100,数值规划表!$B$37:$AA$39,3),1)</f>
        <v>1</v>
      </c>
      <c r="J553" s="31" t="s">
        <v>1625</v>
      </c>
      <c r="K553" s="15">
        <f>INDEX(数值规划表!$B$15:$B$18,MATCH(J553,攻击范围,0))</f>
        <v>1</v>
      </c>
      <c r="L553" s="70">
        <v>2</v>
      </c>
      <c r="M553" s="41">
        <v>0</v>
      </c>
      <c r="N553" s="15">
        <f t="shared" si="30"/>
        <v>131</v>
      </c>
      <c r="O553" s="15">
        <f t="shared" si="31"/>
        <v>3.94</v>
      </c>
      <c r="P553" s="15">
        <f>IF(G553,INDEX(monster!$J$2:$J$606,MATCH(skill!C553,monster!$A$2:$A$606,0)),Q553)</f>
        <v>5</v>
      </c>
      <c r="Q553" s="70"/>
      <c r="R553" s="33">
        <v>500</v>
      </c>
    </row>
    <row r="554" spans="1:18" s="38" customFormat="1" x14ac:dyDescent="0.15">
      <c r="A554" s="32">
        <v>10575</v>
      </c>
      <c r="B554" s="32" t="s">
        <v>966</v>
      </c>
      <c r="C554" s="31">
        <v>1197</v>
      </c>
      <c r="D554" s="32">
        <v>2</v>
      </c>
      <c r="E554" s="15">
        <f>INDEX(monster!$H$2:$H$617,MATCH(skill!C554,monster!$A$2:$A$617,0))</f>
        <v>73.37</v>
      </c>
      <c r="F554" s="15">
        <f>INDEX(monster!$I$2:$I$617,MATCH(C554,monster!$A$2:$A$617,0))</f>
        <v>2.2000000000000002</v>
      </c>
      <c r="G554" s="15" t="b">
        <v>1</v>
      </c>
      <c r="H554" s="31">
        <v>0</v>
      </c>
      <c r="I554" s="15">
        <f>IF(H554&gt;0,HLOOKUP(R554/100,数值规划表!$B$37:$AA$39,3),1)</f>
        <v>1</v>
      </c>
      <c r="J554" s="31" t="s">
        <v>1625</v>
      </c>
      <c r="K554" s="15">
        <f>INDEX(数值规划表!$B$15:$B$18,MATCH(J554,攻击范围,0))</f>
        <v>1</v>
      </c>
      <c r="L554" s="70">
        <v>2</v>
      </c>
      <c r="M554" s="41">
        <v>0</v>
      </c>
      <c r="N554" s="15">
        <f t="shared" si="30"/>
        <v>147</v>
      </c>
      <c r="O554" s="15">
        <f t="shared" si="31"/>
        <v>4.4000000000000004</v>
      </c>
      <c r="P554" s="15">
        <f>IF(G554,INDEX(monster!$J$2:$J$606,MATCH(skill!C554,monster!$A$2:$A$606,0)),Q554)</f>
        <v>5</v>
      </c>
      <c r="Q554" s="70"/>
      <c r="R554" s="33">
        <v>500</v>
      </c>
    </row>
    <row r="555" spans="1:18" s="38" customFormat="1" x14ac:dyDescent="0.15">
      <c r="A555" s="32">
        <v>10576</v>
      </c>
      <c r="B555" s="32" t="s">
        <v>967</v>
      </c>
      <c r="C555" s="31">
        <v>1198</v>
      </c>
      <c r="D555" s="32">
        <v>3</v>
      </c>
      <c r="E555" s="15">
        <f>INDEX(monster!$H$2:$H$617,MATCH(skill!C555,monster!$A$2:$A$617,0))</f>
        <v>82.17</v>
      </c>
      <c r="F555" s="15">
        <f>INDEX(monster!$I$2:$I$617,MATCH(C555,monster!$A$2:$A$617,0))</f>
        <v>2.4700000000000002</v>
      </c>
      <c r="G555" s="15" t="b">
        <v>1</v>
      </c>
      <c r="H555" s="31">
        <v>0</v>
      </c>
      <c r="I555" s="15">
        <f>IF(H555&gt;0,HLOOKUP(R555/100,数值规划表!$B$37:$AA$39,3),1)</f>
        <v>1</v>
      </c>
      <c r="J555" s="31" t="s">
        <v>1625</v>
      </c>
      <c r="K555" s="15">
        <f>INDEX(数值规划表!$B$15:$B$18,MATCH(J555,攻击范围,0))</f>
        <v>1</v>
      </c>
      <c r="L555" s="70">
        <v>2</v>
      </c>
      <c r="M555" s="41">
        <v>0</v>
      </c>
      <c r="N555" s="15">
        <f t="shared" si="30"/>
        <v>164</v>
      </c>
      <c r="O555" s="15">
        <f t="shared" si="31"/>
        <v>4.9400000000000004</v>
      </c>
      <c r="P555" s="15">
        <f>IF(G555,INDEX(monster!$J$2:$J$606,MATCH(skill!C555,monster!$A$2:$A$606,0)),Q555)</f>
        <v>5</v>
      </c>
      <c r="Q555" s="70"/>
      <c r="R555" s="33">
        <v>500</v>
      </c>
    </row>
    <row r="556" spans="1:18" s="38" customFormat="1" x14ac:dyDescent="0.15">
      <c r="A556" s="32">
        <v>10577</v>
      </c>
      <c r="B556" s="32" t="s">
        <v>968</v>
      </c>
      <c r="C556" s="31">
        <v>1199</v>
      </c>
      <c r="D556" s="32">
        <v>4</v>
      </c>
      <c r="E556" s="15">
        <f>INDEX(monster!$H$2:$H$617,MATCH(skill!C556,monster!$A$2:$A$617,0))</f>
        <v>92.04</v>
      </c>
      <c r="F556" s="15">
        <f>INDEX(monster!$I$2:$I$617,MATCH(C556,monster!$A$2:$A$617,0))</f>
        <v>2.76</v>
      </c>
      <c r="G556" s="15" t="b">
        <v>1</v>
      </c>
      <c r="H556" s="31">
        <v>0</v>
      </c>
      <c r="I556" s="15">
        <f>IF(H556&gt;0,HLOOKUP(R556/100,数值规划表!$B$37:$AA$39,3),1)</f>
        <v>1</v>
      </c>
      <c r="J556" s="31" t="s">
        <v>1625</v>
      </c>
      <c r="K556" s="15">
        <f>INDEX(数值规划表!$B$15:$B$18,MATCH(J556,攻击范围,0))</f>
        <v>1</v>
      </c>
      <c r="L556" s="70">
        <v>2</v>
      </c>
      <c r="M556" s="41">
        <v>0</v>
      </c>
      <c r="N556" s="15">
        <f t="shared" si="30"/>
        <v>184</v>
      </c>
      <c r="O556" s="15">
        <f t="shared" si="31"/>
        <v>5.52</v>
      </c>
      <c r="P556" s="15">
        <f>IF(G556,INDEX(monster!$J$2:$J$606,MATCH(skill!C556,monster!$A$2:$A$606,0)),Q556)</f>
        <v>5</v>
      </c>
      <c r="Q556" s="70"/>
      <c r="R556" s="33">
        <v>500</v>
      </c>
    </row>
    <row r="557" spans="1:18" s="38" customFormat="1" x14ac:dyDescent="0.15">
      <c r="A557" s="32">
        <v>10578</v>
      </c>
      <c r="B557" s="32" t="s">
        <v>969</v>
      </c>
      <c r="C557" s="31">
        <v>1200</v>
      </c>
      <c r="D557" s="32">
        <v>5</v>
      </c>
      <c r="E557" s="15">
        <f>INDEX(monster!$H$2:$H$617,MATCH(skill!C557,monster!$A$2:$A$617,0))</f>
        <v>103.08</v>
      </c>
      <c r="F557" s="15">
        <f>INDEX(monster!$I$2:$I$617,MATCH(C557,monster!$A$2:$A$617,0))</f>
        <v>3.09</v>
      </c>
      <c r="G557" s="15" t="b">
        <v>1</v>
      </c>
      <c r="H557" s="31">
        <v>0</v>
      </c>
      <c r="I557" s="15">
        <f>IF(H557&gt;0,HLOOKUP(R557/100,数值规划表!$B$37:$AA$39,3),1)</f>
        <v>1</v>
      </c>
      <c r="J557" s="31" t="s">
        <v>1625</v>
      </c>
      <c r="K557" s="15">
        <f>INDEX(数值规划表!$B$15:$B$18,MATCH(J557,攻击范围,0))</f>
        <v>1</v>
      </c>
      <c r="L557" s="70">
        <v>2</v>
      </c>
      <c r="M557" s="41">
        <v>0</v>
      </c>
      <c r="N557" s="15">
        <f t="shared" si="30"/>
        <v>206</v>
      </c>
      <c r="O557" s="15">
        <f t="shared" si="31"/>
        <v>6.18</v>
      </c>
      <c r="P557" s="15">
        <f>IF(G557,INDEX(monster!$J$2:$J$606,MATCH(skill!C557,monster!$A$2:$A$606,0)),Q557)</f>
        <v>5</v>
      </c>
      <c r="Q557" s="70"/>
      <c r="R557" s="33">
        <v>500</v>
      </c>
    </row>
    <row r="558" spans="1:18" s="38" customFormat="1" x14ac:dyDescent="0.15">
      <c r="A558" s="32">
        <v>10579</v>
      </c>
      <c r="B558" s="32" t="s">
        <v>970</v>
      </c>
      <c r="C558" s="31">
        <v>1201</v>
      </c>
      <c r="D558" s="32">
        <v>6</v>
      </c>
      <c r="E558" s="15">
        <f>INDEX(monster!$H$2:$H$617,MATCH(skill!C558,monster!$A$2:$A$617,0))</f>
        <v>115.45</v>
      </c>
      <c r="F558" s="15">
        <f>INDEX(monster!$I$2:$I$617,MATCH(C558,monster!$A$2:$A$617,0))</f>
        <v>3.46</v>
      </c>
      <c r="G558" s="15" t="b">
        <v>1</v>
      </c>
      <c r="H558" s="31">
        <v>0</v>
      </c>
      <c r="I558" s="15">
        <f>IF(H558&gt;0,HLOOKUP(R558/100,数值规划表!$B$37:$AA$39,3),1)</f>
        <v>1</v>
      </c>
      <c r="J558" s="31" t="s">
        <v>1625</v>
      </c>
      <c r="K558" s="15">
        <f>INDEX(数值规划表!$B$15:$B$18,MATCH(J558,攻击范围,0))</f>
        <v>1</v>
      </c>
      <c r="L558" s="70">
        <v>2</v>
      </c>
      <c r="M558" s="41">
        <v>0</v>
      </c>
      <c r="N558" s="15">
        <f t="shared" si="30"/>
        <v>231</v>
      </c>
      <c r="O558" s="15">
        <f t="shared" si="31"/>
        <v>6.92</v>
      </c>
      <c r="P558" s="15">
        <f>IF(G558,INDEX(monster!$J$2:$J$606,MATCH(skill!C558,monster!$A$2:$A$606,0)),Q558)</f>
        <v>5</v>
      </c>
      <c r="Q558" s="70"/>
      <c r="R558" s="33">
        <v>500</v>
      </c>
    </row>
    <row r="559" spans="1:18" s="38" customFormat="1" x14ac:dyDescent="0.15">
      <c r="A559" s="32">
        <v>10580</v>
      </c>
      <c r="B559" s="32" t="s">
        <v>971</v>
      </c>
      <c r="C559" s="31">
        <v>1202</v>
      </c>
      <c r="D559" s="32">
        <v>7</v>
      </c>
      <c r="E559" s="15">
        <f>INDEX(monster!$H$2:$H$617,MATCH(skill!C559,monster!$A$2:$A$617,0))</f>
        <v>129.30000000000001</v>
      </c>
      <c r="F559" s="15">
        <f>INDEX(monster!$I$2:$I$617,MATCH(C559,monster!$A$2:$A$617,0))</f>
        <v>3.88</v>
      </c>
      <c r="G559" s="15" t="b">
        <v>1</v>
      </c>
      <c r="H559" s="31">
        <v>0</v>
      </c>
      <c r="I559" s="15">
        <f>IF(H559&gt;0,HLOOKUP(R559/100,数值规划表!$B$37:$AA$39,3),1)</f>
        <v>1</v>
      </c>
      <c r="J559" s="31" t="s">
        <v>1625</v>
      </c>
      <c r="K559" s="15">
        <f>INDEX(数值规划表!$B$15:$B$18,MATCH(J559,攻击范围,0))</f>
        <v>1</v>
      </c>
      <c r="L559" s="70">
        <v>2</v>
      </c>
      <c r="M559" s="41">
        <v>0</v>
      </c>
      <c r="N559" s="15">
        <f t="shared" si="30"/>
        <v>259</v>
      </c>
      <c r="O559" s="15">
        <f t="shared" si="31"/>
        <v>7.76</v>
      </c>
      <c r="P559" s="15">
        <f>IF(G559,INDEX(monster!$J$2:$J$606,MATCH(skill!C559,monster!$A$2:$A$606,0)),Q559)</f>
        <v>5</v>
      </c>
      <c r="Q559" s="70"/>
      <c r="R559" s="33">
        <v>500</v>
      </c>
    </row>
    <row r="560" spans="1:18" s="38" customFormat="1" x14ac:dyDescent="0.15">
      <c r="A560" s="32">
        <v>10581</v>
      </c>
      <c r="B560" s="32" t="s">
        <v>972</v>
      </c>
      <c r="C560" s="31">
        <v>1203</v>
      </c>
      <c r="D560" s="32">
        <v>8</v>
      </c>
      <c r="E560" s="15">
        <f>INDEX(monster!$H$2:$H$617,MATCH(skill!C560,monster!$A$2:$A$617,0))</f>
        <v>144.82</v>
      </c>
      <c r="F560" s="15">
        <f>INDEX(monster!$I$2:$I$617,MATCH(C560,monster!$A$2:$A$617,0))</f>
        <v>4.34</v>
      </c>
      <c r="G560" s="15" t="b">
        <v>1</v>
      </c>
      <c r="H560" s="31">
        <v>0</v>
      </c>
      <c r="I560" s="15">
        <f>IF(H560&gt;0,HLOOKUP(R560/100,数值规划表!$B$37:$AA$39,3),1)</f>
        <v>1</v>
      </c>
      <c r="J560" s="31" t="s">
        <v>1625</v>
      </c>
      <c r="K560" s="15">
        <f>INDEX(数值规划表!$B$15:$B$18,MATCH(J560,攻击范围,0))</f>
        <v>1</v>
      </c>
      <c r="L560" s="70">
        <v>2</v>
      </c>
      <c r="M560" s="41">
        <v>0</v>
      </c>
      <c r="N560" s="15">
        <f t="shared" si="30"/>
        <v>290</v>
      </c>
      <c r="O560" s="15">
        <f t="shared" si="31"/>
        <v>8.68</v>
      </c>
      <c r="P560" s="15">
        <f>IF(G560,INDEX(monster!$J$2:$J$606,MATCH(skill!C560,monster!$A$2:$A$606,0)),Q560)</f>
        <v>5</v>
      </c>
      <c r="Q560" s="70"/>
      <c r="R560" s="33">
        <v>500</v>
      </c>
    </row>
    <row r="561" spans="1:18" s="38" customFormat="1" x14ac:dyDescent="0.15">
      <c r="A561" s="32">
        <v>10582</v>
      </c>
      <c r="B561" s="32" t="s">
        <v>973</v>
      </c>
      <c r="C561" s="31">
        <v>1204</v>
      </c>
      <c r="D561" s="32">
        <v>9</v>
      </c>
      <c r="E561" s="15">
        <f>INDEX(monster!$H$2:$H$617,MATCH(skill!C561,monster!$A$2:$A$617,0))</f>
        <v>162.19999999999999</v>
      </c>
      <c r="F561" s="15">
        <f>INDEX(monster!$I$2:$I$617,MATCH(C561,monster!$A$2:$A$617,0))</f>
        <v>4.87</v>
      </c>
      <c r="G561" s="15" t="b">
        <v>1</v>
      </c>
      <c r="H561" s="31">
        <v>0</v>
      </c>
      <c r="I561" s="15">
        <f>IF(H561&gt;0,HLOOKUP(R561/100,数值规划表!$B$37:$AA$39,3),1)</f>
        <v>1</v>
      </c>
      <c r="J561" s="31" t="s">
        <v>1625</v>
      </c>
      <c r="K561" s="15">
        <f>INDEX(数值规划表!$B$15:$B$18,MATCH(J561,攻击范围,0))</f>
        <v>1</v>
      </c>
      <c r="L561" s="70">
        <v>2</v>
      </c>
      <c r="M561" s="41">
        <v>0</v>
      </c>
      <c r="N561" s="15">
        <f t="shared" si="30"/>
        <v>324</v>
      </c>
      <c r="O561" s="15">
        <f t="shared" si="31"/>
        <v>9.74</v>
      </c>
      <c r="P561" s="15">
        <f>IF(G561,INDEX(monster!$J$2:$J$606,MATCH(skill!C561,monster!$A$2:$A$606,0)),Q561)</f>
        <v>5</v>
      </c>
      <c r="Q561" s="70"/>
      <c r="R561" s="33">
        <v>500</v>
      </c>
    </row>
    <row r="562" spans="1:18" s="38" customFormat="1" x14ac:dyDescent="0.15">
      <c r="A562" s="32">
        <v>10583</v>
      </c>
      <c r="B562" s="32" t="s">
        <v>974</v>
      </c>
      <c r="C562" s="31">
        <v>1205</v>
      </c>
      <c r="D562" s="32">
        <v>10</v>
      </c>
      <c r="E562" s="15">
        <f>INDEX(monster!$H$2:$H$617,MATCH(skill!C562,monster!$A$2:$A$617,0))</f>
        <v>181.66</v>
      </c>
      <c r="F562" s="15">
        <f>INDEX(monster!$I$2:$I$617,MATCH(C562,monster!$A$2:$A$617,0))</f>
        <v>5.45</v>
      </c>
      <c r="G562" s="15" t="b">
        <v>1</v>
      </c>
      <c r="H562" s="31">
        <v>0</v>
      </c>
      <c r="I562" s="15">
        <f>IF(H562&gt;0,HLOOKUP(R562/100,数值规划表!$B$37:$AA$39,3),1)</f>
        <v>1</v>
      </c>
      <c r="J562" s="31" t="s">
        <v>1625</v>
      </c>
      <c r="K562" s="15">
        <f>INDEX(数值规划表!$B$15:$B$18,MATCH(J562,攻击范围,0))</f>
        <v>1</v>
      </c>
      <c r="L562" s="70">
        <v>2</v>
      </c>
      <c r="M562" s="41">
        <v>0</v>
      </c>
      <c r="N562" s="15">
        <f t="shared" si="30"/>
        <v>363</v>
      </c>
      <c r="O562" s="15">
        <f t="shared" si="31"/>
        <v>10.9</v>
      </c>
      <c r="P562" s="15">
        <f>IF(G562,INDEX(monster!$J$2:$J$606,MATCH(skill!C562,monster!$A$2:$A$606,0)),Q562)</f>
        <v>5</v>
      </c>
      <c r="Q562" s="70"/>
      <c r="R562" s="33">
        <v>500</v>
      </c>
    </row>
    <row r="563" spans="1:18" s="38" customFormat="1" x14ac:dyDescent="0.15">
      <c r="A563" s="32">
        <v>10584</v>
      </c>
      <c r="B563" s="32" t="s">
        <v>1514</v>
      </c>
      <c r="C563" s="31">
        <v>1340</v>
      </c>
      <c r="D563" s="32">
        <v>0</v>
      </c>
      <c r="E563" s="15">
        <f>INDEX(monster!$H$2:$H$617,MATCH(skill!C563,monster!$A$2:$A$617,0))</f>
        <v>72.81</v>
      </c>
      <c r="F563" s="15">
        <f>INDEX(monster!$I$2:$I$617,MATCH(C563,monster!$A$2:$A$617,0))</f>
        <v>2.1800000000000002</v>
      </c>
      <c r="G563" s="15" t="b">
        <f t="shared" ref="G563:G606" si="32">ISNUMBER(FIND("普攻",B563))</f>
        <v>0</v>
      </c>
      <c r="H563" s="31">
        <v>0</v>
      </c>
      <c r="I563" s="15">
        <f>IF(H563&gt;0,HLOOKUP(R563/100,数值规划表!$B$37:$AA$39,3),1)</f>
        <v>1</v>
      </c>
      <c r="J563" s="31" t="s">
        <v>1625</v>
      </c>
      <c r="K563" s="15">
        <f>INDEX(数值规划表!$B$15:$B$18,MATCH(J563,攻击范围,0))</f>
        <v>1</v>
      </c>
      <c r="L563" s="30">
        <v>1</v>
      </c>
      <c r="M563" s="41">
        <v>0</v>
      </c>
      <c r="N563" s="15">
        <f t="shared" si="30"/>
        <v>73</v>
      </c>
      <c r="O563" s="15">
        <f t="shared" si="31"/>
        <v>2.1800000000000002</v>
      </c>
      <c r="P563" s="15">
        <f>IF(G563,INDEX(monster!$J$2:$J$606,MATCH(skill!C563,monster!$A$2:$A$606,0)),Q563)</f>
        <v>0.5</v>
      </c>
      <c r="Q563" s="70">
        <v>0.5</v>
      </c>
      <c r="R563" s="33">
        <v>120</v>
      </c>
    </row>
    <row r="564" spans="1:18" s="38" customFormat="1" x14ac:dyDescent="0.15">
      <c r="A564" s="32">
        <v>10585</v>
      </c>
      <c r="B564" s="32" t="s">
        <v>975</v>
      </c>
      <c r="C564" s="31">
        <v>1341</v>
      </c>
      <c r="D564" s="32">
        <v>1</v>
      </c>
      <c r="E564" s="15">
        <f>INDEX(monster!$H$2:$H$617,MATCH(skill!C564,monster!$A$2:$A$617,0))</f>
        <v>81.55</v>
      </c>
      <c r="F564" s="15">
        <f>INDEX(monster!$I$2:$I$617,MATCH(C564,monster!$A$2:$A$617,0))</f>
        <v>2.4500000000000002</v>
      </c>
      <c r="G564" s="15" t="b">
        <f t="shared" si="32"/>
        <v>0</v>
      </c>
      <c r="H564" s="31">
        <v>0</v>
      </c>
      <c r="I564" s="15">
        <f>IF(H564&gt;0,HLOOKUP(R564/100,数值规划表!$B$37:$AA$39,3),1)</f>
        <v>1</v>
      </c>
      <c r="J564" s="31" t="s">
        <v>1625</v>
      </c>
      <c r="K564" s="15">
        <f>INDEX(数值规划表!$B$15:$B$18,MATCH(J564,攻击范围,0))</f>
        <v>1</v>
      </c>
      <c r="L564" s="30">
        <v>1</v>
      </c>
      <c r="M564" s="41">
        <v>0</v>
      </c>
      <c r="N564" s="15">
        <f t="shared" si="30"/>
        <v>82</v>
      </c>
      <c r="O564" s="15">
        <f t="shared" si="31"/>
        <v>2.4500000000000002</v>
      </c>
      <c r="P564" s="15">
        <f>IF(G564,INDEX(monster!$J$2:$J$606,MATCH(skill!C564,monster!$A$2:$A$606,0)),Q564)</f>
        <v>0.5</v>
      </c>
      <c r="Q564" s="70">
        <v>0.5</v>
      </c>
      <c r="R564" s="33">
        <v>120</v>
      </c>
    </row>
    <row r="565" spans="1:18" s="38" customFormat="1" x14ac:dyDescent="0.15">
      <c r="A565" s="32">
        <v>10586</v>
      </c>
      <c r="B565" s="32" t="s">
        <v>976</v>
      </c>
      <c r="C565" s="31">
        <v>1342</v>
      </c>
      <c r="D565" s="32">
        <v>2</v>
      </c>
      <c r="E565" s="15">
        <f>INDEX(monster!$H$2:$H$617,MATCH(skill!C565,monster!$A$2:$A$617,0))</f>
        <v>91.33</v>
      </c>
      <c r="F565" s="15">
        <f>INDEX(monster!$I$2:$I$617,MATCH(C565,monster!$A$2:$A$617,0))</f>
        <v>2.74</v>
      </c>
      <c r="G565" s="15" t="b">
        <f t="shared" si="32"/>
        <v>0</v>
      </c>
      <c r="H565" s="31">
        <v>0</v>
      </c>
      <c r="I565" s="15">
        <f>IF(H565&gt;0,HLOOKUP(R565/100,数值规划表!$B$37:$AA$39,3),1)</f>
        <v>1</v>
      </c>
      <c r="J565" s="31" t="s">
        <v>1625</v>
      </c>
      <c r="K565" s="15">
        <f>INDEX(数值规划表!$B$15:$B$18,MATCH(J565,攻击范围,0))</f>
        <v>1</v>
      </c>
      <c r="L565" s="30">
        <v>1</v>
      </c>
      <c r="M565" s="41">
        <v>0</v>
      </c>
      <c r="N565" s="15">
        <f t="shared" si="30"/>
        <v>91</v>
      </c>
      <c r="O565" s="15">
        <f t="shared" si="31"/>
        <v>2.74</v>
      </c>
      <c r="P565" s="15">
        <f>IF(G565,INDEX(monster!$J$2:$J$606,MATCH(skill!C565,monster!$A$2:$A$606,0)),Q565)</f>
        <v>0.5</v>
      </c>
      <c r="Q565" s="70">
        <v>0.5</v>
      </c>
      <c r="R565" s="33">
        <v>120</v>
      </c>
    </row>
    <row r="566" spans="1:18" s="38" customFormat="1" x14ac:dyDescent="0.15">
      <c r="A566" s="32">
        <v>10587</v>
      </c>
      <c r="B566" s="32" t="s">
        <v>977</v>
      </c>
      <c r="C566" s="31">
        <v>1343</v>
      </c>
      <c r="D566" s="32">
        <v>3</v>
      </c>
      <c r="E566" s="15">
        <f>INDEX(monster!$H$2:$H$617,MATCH(skill!C566,monster!$A$2:$A$617,0))</f>
        <v>102.29</v>
      </c>
      <c r="F566" s="15">
        <f>INDEX(monster!$I$2:$I$617,MATCH(C566,monster!$A$2:$A$617,0))</f>
        <v>3.07</v>
      </c>
      <c r="G566" s="15" t="b">
        <f t="shared" si="32"/>
        <v>0</v>
      </c>
      <c r="H566" s="31">
        <v>0</v>
      </c>
      <c r="I566" s="15">
        <f>IF(H566&gt;0,HLOOKUP(R566/100,数值规划表!$B$37:$AA$39,3),1)</f>
        <v>1</v>
      </c>
      <c r="J566" s="31" t="s">
        <v>1625</v>
      </c>
      <c r="K566" s="15">
        <f>INDEX(数值规划表!$B$15:$B$18,MATCH(J566,攻击范围,0))</f>
        <v>1</v>
      </c>
      <c r="L566" s="30">
        <v>1</v>
      </c>
      <c r="M566" s="41">
        <v>0</v>
      </c>
      <c r="N566" s="15">
        <f t="shared" si="30"/>
        <v>102</v>
      </c>
      <c r="O566" s="15">
        <f t="shared" si="31"/>
        <v>3.07</v>
      </c>
      <c r="P566" s="15">
        <f>IF(G566,INDEX(monster!$J$2:$J$606,MATCH(skill!C566,monster!$A$2:$A$606,0)),Q566)</f>
        <v>0.5</v>
      </c>
      <c r="Q566" s="70">
        <v>0.5</v>
      </c>
      <c r="R566" s="33">
        <v>120</v>
      </c>
    </row>
    <row r="567" spans="1:18" s="38" customFormat="1" x14ac:dyDescent="0.15">
      <c r="A567" s="32">
        <v>10588</v>
      </c>
      <c r="B567" s="32" t="s">
        <v>978</v>
      </c>
      <c r="C567" s="31">
        <v>1344</v>
      </c>
      <c r="D567" s="32">
        <v>4</v>
      </c>
      <c r="E567" s="15">
        <f>INDEX(monster!$H$2:$H$617,MATCH(skill!C567,monster!$A$2:$A$617,0))</f>
        <v>114.57</v>
      </c>
      <c r="F567" s="15">
        <f>INDEX(monster!$I$2:$I$617,MATCH(C567,monster!$A$2:$A$617,0))</f>
        <v>3.44</v>
      </c>
      <c r="G567" s="15" t="b">
        <f t="shared" si="32"/>
        <v>0</v>
      </c>
      <c r="H567" s="31">
        <v>0</v>
      </c>
      <c r="I567" s="15">
        <f>IF(H567&gt;0,HLOOKUP(R567/100,数值规划表!$B$37:$AA$39,3),1)</f>
        <v>1</v>
      </c>
      <c r="J567" s="31" t="s">
        <v>1625</v>
      </c>
      <c r="K567" s="15">
        <f>INDEX(数值规划表!$B$15:$B$18,MATCH(J567,攻击范围,0))</f>
        <v>1</v>
      </c>
      <c r="L567" s="30">
        <v>1</v>
      </c>
      <c r="M567" s="41">
        <v>0</v>
      </c>
      <c r="N567" s="15">
        <f t="shared" ref="N567:N630" si="33">ROUND(E567*I567*K567*L567,0)</f>
        <v>115</v>
      </c>
      <c r="O567" s="15">
        <f t="shared" ref="O567:O630" si="34">ROUND(F567*I567*K567*L567,2)</f>
        <v>3.44</v>
      </c>
      <c r="P567" s="15">
        <f>IF(G567,INDEX(monster!$J$2:$J$606,MATCH(skill!C567,monster!$A$2:$A$606,0)),Q567)</f>
        <v>0.5</v>
      </c>
      <c r="Q567" s="70">
        <v>0.5</v>
      </c>
      <c r="R567" s="33">
        <v>120</v>
      </c>
    </row>
    <row r="568" spans="1:18" s="38" customFormat="1" x14ac:dyDescent="0.15">
      <c r="A568" s="32">
        <v>10589</v>
      </c>
      <c r="B568" s="32" t="s">
        <v>979</v>
      </c>
      <c r="C568" s="31">
        <v>1345</v>
      </c>
      <c r="D568" s="32">
        <v>5</v>
      </c>
      <c r="E568" s="15">
        <f>INDEX(monster!$H$2:$H$617,MATCH(skill!C568,monster!$A$2:$A$617,0))</f>
        <v>128.32</v>
      </c>
      <c r="F568" s="15">
        <f>INDEX(monster!$I$2:$I$617,MATCH(C568,monster!$A$2:$A$617,0))</f>
        <v>3.85</v>
      </c>
      <c r="G568" s="15" t="b">
        <f t="shared" si="32"/>
        <v>0</v>
      </c>
      <c r="H568" s="31">
        <v>0</v>
      </c>
      <c r="I568" s="15">
        <f>IF(H568&gt;0,HLOOKUP(R568/100,数值规划表!$B$37:$AA$39,3),1)</f>
        <v>1</v>
      </c>
      <c r="J568" s="31" t="s">
        <v>1625</v>
      </c>
      <c r="K568" s="15">
        <f>INDEX(数值规划表!$B$15:$B$18,MATCH(J568,攻击范围,0))</f>
        <v>1</v>
      </c>
      <c r="L568" s="30">
        <v>1</v>
      </c>
      <c r="M568" s="41">
        <v>0</v>
      </c>
      <c r="N568" s="15">
        <f t="shared" si="33"/>
        <v>128</v>
      </c>
      <c r="O568" s="15">
        <f t="shared" si="34"/>
        <v>3.85</v>
      </c>
      <c r="P568" s="15">
        <f>IF(G568,INDEX(monster!$J$2:$J$606,MATCH(skill!C568,monster!$A$2:$A$606,0)),Q568)</f>
        <v>0.5</v>
      </c>
      <c r="Q568" s="70">
        <v>0.5</v>
      </c>
      <c r="R568" s="33">
        <v>120</v>
      </c>
    </row>
    <row r="569" spans="1:18" s="38" customFormat="1" x14ac:dyDescent="0.15">
      <c r="A569" s="32">
        <v>10590</v>
      </c>
      <c r="B569" s="32" t="s">
        <v>980</v>
      </c>
      <c r="C569" s="31">
        <v>1346</v>
      </c>
      <c r="D569" s="32">
        <v>6</v>
      </c>
      <c r="E569" s="15">
        <f>INDEX(monster!$H$2:$H$617,MATCH(skill!C569,monster!$A$2:$A$617,0))</f>
        <v>143.71</v>
      </c>
      <c r="F569" s="15">
        <f>INDEX(monster!$I$2:$I$617,MATCH(C569,monster!$A$2:$A$617,0))</f>
        <v>4.3099999999999996</v>
      </c>
      <c r="G569" s="15" t="b">
        <f t="shared" si="32"/>
        <v>0</v>
      </c>
      <c r="H569" s="31">
        <v>0</v>
      </c>
      <c r="I569" s="15">
        <f>IF(H569&gt;0,HLOOKUP(R569/100,数值规划表!$B$37:$AA$39,3),1)</f>
        <v>1</v>
      </c>
      <c r="J569" s="31" t="s">
        <v>1625</v>
      </c>
      <c r="K569" s="15">
        <f>INDEX(数值规划表!$B$15:$B$18,MATCH(J569,攻击范围,0))</f>
        <v>1</v>
      </c>
      <c r="L569" s="30">
        <v>1</v>
      </c>
      <c r="M569" s="41">
        <v>0</v>
      </c>
      <c r="N569" s="15">
        <f t="shared" si="33"/>
        <v>144</v>
      </c>
      <c r="O569" s="15">
        <f t="shared" si="34"/>
        <v>4.3099999999999996</v>
      </c>
      <c r="P569" s="15">
        <f>IF(G569,INDEX(monster!$J$2:$J$606,MATCH(skill!C569,monster!$A$2:$A$606,0)),Q569)</f>
        <v>0.5</v>
      </c>
      <c r="Q569" s="70">
        <v>0.5</v>
      </c>
      <c r="R569" s="33">
        <v>120</v>
      </c>
    </row>
    <row r="570" spans="1:18" s="38" customFormat="1" x14ac:dyDescent="0.15">
      <c r="A570" s="32">
        <v>10591</v>
      </c>
      <c r="B570" s="32" t="s">
        <v>981</v>
      </c>
      <c r="C570" s="31">
        <v>1347</v>
      </c>
      <c r="D570" s="32">
        <v>7</v>
      </c>
      <c r="E570" s="15">
        <f>INDEX(monster!$H$2:$H$617,MATCH(skill!C570,monster!$A$2:$A$617,0))</f>
        <v>160.96</v>
      </c>
      <c r="F570" s="15">
        <f>INDEX(monster!$I$2:$I$617,MATCH(C570,monster!$A$2:$A$617,0))</f>
        <v>4.83</v>
      </c>
      <c r="G570" s="15" t="b">
        <f t="shared" si="32"/>
        <v>0</v>
      </c>
      <c r="H570" s="31">
        <v>0</v>
      </c>
      <c r="I570" s="15">
        <f>IF(H570&gt;0,HLOOKUP(R570/100,数值规划表!$B$37:$AA$39,3),1)</f>
        <v>1</v>
      </c>
      <c r="J570" s="31" t="s">
        <v>1625</v>
      </c>
      <c r="K570" s="15">
        <f>INDEX(数值规划表!$B$15:$B$18,MATCH(J570,攻击范围,0))</f>
        <v>1</v>
      </c>
      <c r="L570" s="30">
        <v>1</v>
      </c>
      <c r="M570" s="41">
        <v>0</v>
      </c>
      <c r="N570" s="15">
        <f t="shared" si="33"/>
        <v>161</v>
      </c>
      <c r="O570" s="15">
        <f t="shared" si="34"/>
        <v>4.83</v>
      </c>
      <c r="P570" s="15">
        <f>IF(G570,INDEX(monster!$J$2:$J$606,MATCH(skill!C570,monster!$A$2:$A$606,0)),Q570)</f>
        <v>0.5</v>
      </c>
      <c r="Q570" s="70">
        <v>0.5</v>
      </c>
      <c r="R570" s="33">
        <v>120</v>
      </c>
    </row>
    <row r="571" spans="1:18" s="38" customFormat="1" x14ac:dyDescent="0.15">
      <c r="A571" s="32">
        <v>10592</v>
      </c>
      <c r="B571" s="32" t="s">
        <v>982</v>
      </c>
      <c r="C571" s="31">
        <v>1348</v>
      </c>
      <c r="D571" s="32">
        <v>8</v>
      </c>
      <c r="E571" s="15">
        <f>INDEX(monster!$H$2:$H$617,MATCH(skill!C571,monster!$A$2:$A$617,0))</f>
        <v>180.27</v>
      </c>
      <c r="F571" s="15">
        <f>INDEX(monster!$I$2:$I$617,MATCH(C571,monster!$A$2:$A$617,0))</f>
        <v>5.41</v>
      </c>
      <c r="G571" s="15" t="b">
        <f t="shared" si="32"/>
        <v>0</v>
      </c>
      <c r="H571" s="31">
        <v>0</v>
      </c>
      <c r="I571" s="15">
        <f>IF(H571&gt;0,HLOOKUP(R571/100,数值规划表!$B$37:$AA$39,3),1)</f>
        <v>1</v>
      </c>
      <c r="J571" s="31" t="s">
        <v>1625</v>
      </c>
      <c r="K571" s="15">
        <f>INDEX(数值规划表!$B$15:$B$18,MATCH(J571,攻击范围,0))</f>
        <v>1</v>
      </c>
      <c r="L571" s="30">
        <v>1</v>
      </c>
      <c r="M571" s="41">
        <v>0</v>
      </c>
      <c r="N571" s="15">
        <f t="shared" si="33"/>
        <v>180</v>
      </c>
      <c r="O571" s="15">
        <f t="shared" si="34"/>
        <v>5.41</v>
      </c>
      <c r="P571" s="15">
        <f>IF(G571,INDEX(monster!$J$2:$J$606,MATCH(skill!C571,monster!$A$2:$A$606,0)),Q571)</f>
        <v>0.5</v>
      </c>
      <c r="Q571" s="70">
        <v>0.5</v>
      </c>
      <c r="R571" s="33">
        <v>120</v>
      </c>
    </row>
    <row r="572" spans="1:18" s="38" customFormat="1" x14ac:dyDescent="0.15">
      <c r="A572" s="32">
        <v>10593</v>
      </c>
      <c r="B572" s="32" t="s">
        <v>983</v>
      </c>
      <c r="C572" s="31">
        <v>1349</v>
      </c>
      <c r="D572" s="32">
        <v>9</v>
      </c>
      <c r="E572" s="15">
        <f>INDEX(monster!$H$2:$H$617,MATCH(skill!C572,monster!$A$2:$A$617,0))</f>
        <v>201.91</v>
      </c>
      <c r="F572" s="15">
        <f>INDEX(monster!$I$2:$I$617,MATCH(C572,monster!$A$2:$A$617,0))</f>
        <v>6.06</v>
      </c>
      <c r="G572" s="15" t="b">
        <f t="shared" si="32"/>
        <v>0</v>
      </c>
      <c r="H572" s="31">
        <v>0</v>
      </c>
      <c r="I572" s="15">
        <f>IF(H572&gt;0,HLOOKUP(R572/100,数值规划表!$B$37:$AA$39,3),1)</f>
        <v>1</v>
      </c>
      <c r="J572" s="31" t="s">
        <v>1625</v>
      </c>
      <c r="K572" s="15">
        <f>INDEX(数值规划表!$B$15:$B$18,MATCH(J572,攻击范围,0))</f>
        <v>1</v>
      </c>
      <c r="L572" s="30">
        <v>1</v>
      </c>
      <c r="M572" s="41">
        <v>0</v>
      </c>
      <c r="N572" s="15">
        <f t="shared" si="33"/>
        <v>202</v>
      </c>
      <c r="O572" s="15">
        <f t="shared" si="34"/>
        <v>6.06</v>
      </c>
      <c r="P572" s="15">
        <f>IF(G572,INDEX(monster!$J$2:$J$606,MATCH(skill!C572,monster!$A$2:$A$606,0)),Q572)</f>
        <v>0.5</v>
      </c>
      <c r="Q572" s="70">
        <v>0.5</v>
      </c>
      <c r="R572" s="33">
        <v>120</v>
      </c>
    </row>
    <row r="573" spans="1:18" s="38" customFormat="1" x14ac:dyDescent="0.15">
      <c r="A573" s="32">
        <v>10594</v>
      </c>
      <c r="B573" s="32" t="s">
        <v>984</v>
      </c>
      <c r="C573" s="31">
        <v>1350</v>
      </c>
      <c r="D573" s="32">
        <v>10</v>
      </c>
      <c r="E573" s="15">
        <f>INDEX(monster!$H$2:$H$617,MATCH(skill!C573,monster!$A$2:$A$617,0))</f>
        <v>226.14</v>
      </c>
      <c r="F573" s="15">
        <f>INDEX(monster!$I$2:$I$617,MATCH(C573,monster!$A$2:$A$617,0))</f>
        <v>6.78</v>
      </c>
      <c r="G573" s="15" t="b">
        <f t="shared" si="32"/>
        <v>0</v>
      </c>
      <c r="H573" s="31">
        <v>0</v>
      </c>
      <c r="I573" s="15">
        <f>IF(H573&gt;0,HLOOKUP(R573/100,数值规划表!$B$37:$AA$39,3),1)</f>
        <v>1</v>
      </c>
      <c r="J573" s="31" t="s">
        <v>1625</v>
      </c>
      <c r="K573" s="15">
        <f>INDEX(数值规划表!$B$15:$B$18,MATCH(J573,攻击范围,0))</f>
        <v>1</v>
      </c>
      <c r="L573" s="30">
        <v>1</v>
      </c>
      <c r="M573" s="41">
        <v>0</v>
      </c>
      <c r="N573" s="15">
        <f t="shared" si="33"/>
        <v>226</v>
      </c>
      <c r="O573" s="15">
        <f t="shared" si="34"/>
        <v>6.78</v>
      </c>
      <c r="P573" s="15">
        <f>IF(G573,INDEX(monster!$J$2:$J$606,MATCH(skill!C573,monster!$A$2:$A$606,0)),Q573)</f>
        <v>0.5</v>
      </c>
      <c r="Q573" s="70">
        <v>0.5</v>
      </c>
      <c r="R573" s="33">
        <v>120</v>
      </c>
    </row>
    <row r="574" spans="1:18" s="38" customFormat="1" x14ac:dyDescent="0.15">
      <c r="A574" s="32">
        <v>10595</v>
      </c>
      <c r="B574" s="32" t="s">
        <v>1515</v>
      </c>
      <c r="C574" s="31">
        <v>1340</v>
      </c>
      <c r="D574" s="32">
        <v>0</v>
      </c>
      <c r="E574" s="15">
        <f>INDEX(monster!$H$2:$H$617,MATCH(skill!C574,monster!$A$2:$A$617,0))</f>
        <v>72.81</v>
      </c>
      <c r="F574" s="15">
        <f>INDEX(monster!$I$2:$I$617,MATCH(C574,monster!$A$2:$A$617,0))</f>
        <v>2.1800000000000002</v>
      </c>
      <c r="G574" s="15" t="b">
        <f t="shared" si="32"/>
        <v>1</v>
      </c>
      <c r="H574" s="31">
        <v>1</v>
      </c>
      <c r="I574" s="15">
        <f>IF(H574&gt;0,HLOOKUP(R574/100,数值规划表!$B$37:$AA$39,3),1)</f>
        <v>1.296</v>
      </c>
      <c r="J574" s="31" t="s">
        <v>1625</v>
      </c>
      <c r="K574" s="15">
        <f>INDEX(数值规划表!$B$15:$B$18,MATCH(J574,攻击范围,0))</f>
        <v>1</v>
      </c>
      <c r="L574" s="30">
        <v>1</v>
      </c>
      <c r="M574" s="41">
        <v>0</v>
      </c>
      <c r="N574" s="15">
        <f t="shared" si="33"/>
        <v>94</v>
      </c>
      <c r="O574" s="15">
        <f t="shared" si="34"/>
        <v>2.83</v>
      </c>
      <c r="P574" s="15">
        <f>IF(G574,INDEX(monster!$J$2:$J$606,MATCH(skill!C574,monster!$A$2:$A$606,0)),Q574)</f>
        <v>5</v>
      </c>
      <c r="Q574" s="70"/>
      <c r="R574" s="33">
        <v>120</v>
      </c>
    </row>
    <row r="575" spans="1:18" s="38" customFormat="1" x14ac:dyDescent="0.15">
      <c r="A575" s="32">
        <v>10596</v>
      </c>
      <c r="B575" s="32" t="s">
        <v>1516</v>
      </c>
      <c r="C575" s="31">
        <v>1341</v>
      </c>
      <c r="D575" s="32">
        <v>1</v>
      </c>
      <c r="E575" s="15">
        <f>INDEX(monster!$H$2:$H$617,MATCH(skill!C575,monster!$A$2:$A$617,0))</f>
        <v>81.55</v>
      </c>
      <c r="F575" s="15">
        <f>INDEX(monster!$I$2:$I$617,MATCH(C575,monster!$A$2:$A$617,0))</f>
        <v>2.4500000000000002</v>
      </c>
      <c r="G575" s="15" t="b">
        <f t="shared" si="32"/>
        <v>1</v>
      </c>
      <c r="H575" s="31">
        <v>1</v>
      </c>
      <c r="I575" s="15">
        <f>IF(H575&gt;0,HLOOKUP(R575/100,数值规划表!$B$37:$AA$39,3),1)</f>
        <v>1.296</v>
      </c>
      <c r="J575" s="31" t="s">
        <v>1625</v>
      </c>
      <c r="K575" s="15">
        <f>INDEX(数值规划表!$B$15:$B$18,MATCH(J575,攻击范围,0))</f>
        <v>1</v>
      </c>
      <c r="L575" s="30">
        <v>1</v>
      </c>
      <c r="M575" s="41">
        <v>0</v>
      </c>
      <c r="N575" s="15">
        <f t="shared" si="33"/>
        <v>106</v>
      </c>
      <c r="O575" s="15">
        <f t="shared" si="34"/>
        <v>3.18</v>
      </c>
      <c r="P575" s="15">
        <f>IF(G575,INDEX(monster!$J$2:$J$606,MATCH(skill!C575,monster!$A$2:$A$606,0)),Q575)</f>
        <v>5</v>
      </c>
      <c r="Q575" s="70"/>
      <c r="R575" s="33">
        <v>120</v>
      </c>
    </row>
    <row r="576" spans="1:18" s="38" customFormat="1" x14ac:dyDescent="0.15">
      <c r="A576" s="32">
        <v>10597</v>
      </c>
      <c r="B576" s="32" t="s">
        <v>985</v>
      </c>
      <c r="C576" s="31">
        <v>1342</v>
      </c>
      <c r="D576" s="32">
        <v>2</v>
      </c>
      <c r="E576" s="15">
        <f>INDEX(monster!$H$2:$H$617,MATCH(skill!C576,monster!$A$2:$A$617,0))</f>
        <v>91.33</v>
      </c>
      <c r="F576" s="15">
        <f>INDEX(monster!$I$2:$I$617,MATCH(C576,monster!$A$2:$A$617,0))</f>
        <v>2.74</v>
      </c>
      <c r="G576" s="15" t="b">
        <f t="shared" si="32"/>
        <v>1</v>
      </c>
      <c r="H576" s="31">
        <v>1</v>
      </c>
      <c r="I576" s="15">
        <f>IF(H576&gt;0,HLOOKUP(R576/100,数值规划表!$B$37:$AA$39,3),1)</f>
        <v>1.296</v>
      </c>
      <c r="J576" s="31" t="s">
        <v>1625</v>
      </c>
      <c r="K576" s="15">
        <f>INDEX(数值规划表!$B$15:$B$18,MATCH(J576,攻击范围,0))</f>
        <v>1</v>
      </c>
      <c r="L576" s="30">
        <v>1</v>
      </c>
      <c r="M576" s="41">
        <v>0</v>
      </c>
      <c r="N576" s="15">
        <f t="shared" si="33"/>
        <v>118</v>
      </c>
      <c r="O576" s="15">
        <f t="shared" si="34"/>
        <v>3.55</v>
      </c>
      <c r="P576" s="15">
        <f>IF(G576,INDEX(monster!$J$2:$J$606,MATCH(skill!C576,monster!$A$2:$A$606,0)),Q576)</f>
        <v>5</v>
      </c>
      <c r="Q576" s="70"/>
      <c r="R576" s="33">
        <v>120</v>
      </c>
    </row>
    <row r="577" spans="1:18" s="38" customFormat="1" x14ac:dyDescent="0.15">
      <c r="A577" s="32">
        <v>10598</v>
      </c>
      <c r="B577" s="32" t="s">
        <v>986</v>
      </c>
      <c r="C577" s="31">
        <v>1343</v>
      </c>
      <c r="D577" s="32">
        <v>3</v>
      </c>
      <c r="E577" s="15">
        <f>INDEX(monster!$H$2:$H$617,MATCH(skill!C577,monster!$A$2:$A$617,0))</f>
        <v>102.29</v>
      </c>
      <c r="F577" s="15">
        <f>INDEX(monster!$I$2:$I$617,MATCH(C577,monster!$A$2:$A$617,0))</f>
        <v>3.07</v>
      </c>
      <c r="G577" s="15" t="b">
        <f t="shared" si="32"/>
        <v>1</v>
      </c>
      <c r="H577" s="31">
        <v>1</v>
      </c>
      <c r="I577" s="15">
        <f>IF(H577&gt;0,HLOOKUP(R577/100,数值规划表!$B$37:$AA$39,3),1)</f>
        <v>1.296</v>
      </c>
      <c r="J577" s="31" t="s">
        <v>1625</v>
      </c>
      <c r="K577" s="15">
        <f>INDEX(数值规划表!$B$15:$B$18,MATCH(J577,攻击范围,0))</f>
        <v>1</v>
      </c>
      <c r="L577" s="30">
        <v>1</v>
      </c>
      <c r="M577" s="41">
        <v>0</v>
      </c>
      <c r="N577" s="15">
        <f t="shared" si="33"/>
        <v>133</v>
      </c>
      <c r="O577" s="15">
        <f t="shared" si="34"/>
        <v>3.98</v>
      </c>
      <c r="P577" s="15">
        <f>IF(G577,INDEX(monster!$J$2:$J$606,MATCH(skill!C577,monster!$A$2:$A$606,0)),Q577)</f>
        <v>5</v>
      </c>
      <c r="Q577" s="70"/>
      <c r="R577" s="33">
        <v>120</v>
      </c>
    </row>
    <row r="578" spans="1:18" s="38" customFormat="1" x14ac:dyDescent="0.15">
      <c r="A578" s="32">
        <v>10599</v>
      </c>
      <c r="B578" s="32" t="s">
        <v>987</v>
      </c>
      <c r="C578" s="31">
        <v>1344</v>
      </c>
      <c r="D578" s="32">
        <v>4</v>
      </c>
      <c r="E578" s="15">
        <f>INDEX(monster!$H$2:$H$617,MATCH(skill!C578,monster!$A$2:$A$617,0))</f>
        <v>114.57</v>
      </c>
      <c r="F578" s="15">
        <f>INDEX(monster!$I$2:$I$617,MATCH(C578,monster!$A$2:$A$617,0))</f>
        <v>3.44</v>
      </c>
      <c r="G578" s="15" t="b">
        <f t="shared" si="32"/>
        <v>1</v>
      </c>
      <c r="H578" s="31">
        <v>1</v>
      </c>
      <c r="I578" s="15">
        <f>IF(H578&gt;0,HLOOKUP(R578/100,数值规划表!$B$37:$AA$39,3),1)</f>
        <v>1.296</v>
      </c>
      <c r="J578" s="31" t="s">
        <v>1625</v>
      </c>
      <c r="K578" s="15">
        <f>INDEX(数值规划表!$B$15:$B$18,MATCH(J578,攻击范围,0))</f>
        <v>1</v>
      </c>
      <c r="L578" s="30">
        <v>1</v>
      </c>
      <c r="M578" s="41">
        <v>0</v>
      </c>
      <c r="N578" s="15">
        <f t="shared" si="33"/>
        <v>148</v>
      </c>
      <c r="O578" s="15">
        <f t="shared" si="34"/>
        <v>4.46</v>
      </c>
      <c r="P578" s="15">
        <f>IF(G578,INDEX(monster!$J$2:$J$606,MATCH(skill!C578,monster!$A$2:$A$606,0)),Q578)</f>
        <v>5</v>
      </c>
      <c r="Q578" s="70"/>
      <c r="R578" s="33">
        <v>120</v>
      </c>
    </row>
    <row r="579" spans="1:18" s="38" customFormat="1" x14ac:dyDescent="0.15">
      <c r="A579" s="32">
        <v>10600</v>
      </c>
      <c r="B579" s="32" t="s">
        <v>988</v>
      </c>
      <c r="C579" s="31">
        <v>1345</v>
      </c>
      <c r="D579" s="32">
        <v>5</v>
      </c>
      <c r="E579" s="15">
        <f>INDEX(monster!$H$2:$H$617,MATCH(skill!C579,monster!$A$2:$A$617,0))</f>
        <v>128.32</v>
      </c>
      <c r="F579" s="15">
        <f>INDEX(monster!$I$2:$I$617,MATCH(C579,monster!$A$2:$A$617,0))</f>
        <v>3.85</v>
      </c>
      <c r="G579" s="15" t="b">
        <f t="shared" si="32"/>
        <v>1</v>
      </c>
      <c r="H579" s="31">
        <v>1</v>
      </c>
      <c r="I579" s="15">
        <f>IF(H579&gt;0,HLOOKUP(R579/100,数值规划表!$B$37:$AA$39,3),1)</f>
        <v>1.296</v>
      </c>
      <c r="J579" s="31" t="s">
        <v>1625</v>
      </c>
      <c r="K579" s="15">
        <f>INDEX(数值规划表!$B$15:$B$18,MATCH(J579,攻击范围,0))</f>
        <v>1</v>
      </c>
      <c r="L579" s="30">
        <v>1</v>
      </c>
      <c r="M579" s="41">
        <v>0</v>
      </c>
      <c r="N579" s="15">
        <f t="shared" si="33"/>
        <v>166</v>
      </c>
      <c r="O579" s="15">
        <f t="shared" si="34"/>
        <v>4.99</v>
      </c>
      <c r="P579" s="15">
        <f>IF(G579,INDEX(monster!$J$2:$J$606,MATCH(skill!C579,monster!$A$2:$A$606,0)),Q579)</f>
        <v>5</v>
      </c>
      <c r="Q579" s="70"/>
      <c r="R579" s="33">
        <v>120</v>
      </c>
    </row>
    <row r="580" spans="1:18" s="38" customFormat="1" x14ac:dyDescent="0.15">
      <c r="A580" s="32">
        <v>10601</v>
      </c>
      <c r="B580" s="32" t="s">
        <v>989</v>
      </c>
      <c r="C580" s="31">
        <v>1346</v>
      </c>
      <c r="D580" s="32">
        <v>6</v>
      </c>
      <c r="E580" s="15">
        <f>INDEX(monster!$H$2:$H$617,MATCH(skill!C580,monster!$A$2:$A$617,0))</f>
        <v>143.71</v>
      </c>
      <c r="F580" s="15">
        <f>INDEX(monster!$I$2:$I$617,MATCH(C580,monster!$A$2:$A$617,0))</f>
        <v>4.3099999999999996</v>
      </c>
      <c r="G580" s="15" t="b">
        <f t="shared" si="32"/>
        <v>1</v>
      </c>
      <c r="H580" s="31">
        <v>1</v>
      </c>
      <c r="I580" s="15">
        <f>IF(H580&gt;0,HLOOKUP(R580/100,数值规划表!$B$37:$AA$39,3),1)</f>
        <v>1.296</v>
      </c>
      <c r="J580" s="31" t="s">
        <v>1625</v>
      </c>
      <c r="K580" s="15">
        <f>INDEX(数值规划表!$B$15:$B$18,MATCH(J580,攻击范围,0))</f>
        <v>1</v>
      </c>
      <c r="L580" s="30">
        <v>1</v>
      </c>
      <c r="M580" s="41">
        <v>0</v>
      </c>
      <c r="N580" s="15">
        <f t="shared" si="33"/>
        <v>186</v>
      </c>
      <c r="O580" s="15">
        <f t="shared" si="34"/>
        <v>5.59</v>
      </c>
      <c r="P580" s="15">
        <f>IF(G580,INDEX(monster!$J$2:$J$606,MATCH(skill!C580,monster!$A$2:$A$606,0)),Q580)</f>
        <v>5</v>
      </c>
      <c r="Q580" s="70"/>
      <c r="R580" s="33">
        <v>120</v>
      </c>
    </row>
    <row r="581" spans="1:18" s="38" customFormat="1" x14ac:dyDescent="0.15">
      <c r="A581" s="32">
        <v>10602</v>
      </c>
      <c r="B581" s="32" t="s">
        <v>990</v>
      </c>
      <c r="C581" s="31">
        <v>1347</v>
      </c>
      <c r="D581" s="32">
        <v>7</v>
      </c>
      <c r="E581" s="15">
        <f>INDEX(monster!$H$2:$H$617,MATCH(skill!C581,monster!$A$2:$A$617,0))</f>
        <v>160.96</v>
      </c>
      <c r="F581" s="15">
        <f>INDEX(monster!$I$2:$I$617,MATCH(C581,monster!$A$2:$A$617,0))</f>
        <v>4.83</v>
      </c>
      <c r="G581" s="15" t="b">
        <f t="shared" si="32"/>
        <v>1</v>
      </c>
      <c r="H581" s="31">
        <v>1</v>
      </c>
      <c r="I581" s="15">
        <f>IF(H581&gt;0,HLOOKUP(R581/100,数值规划表!$B$37:$AA$39,3),1)</f>
        <v>1.296</v>
      </c>
      <c r="J581" s="31" t="s">
        <v>1625</v>
      </c>
      <c r="K581" s="15">
        <f>INDEX(数值规划表!$B$15:$B$18,MATCH(J581,攻击范围,0))</f>
        <v>1</v>
      </c>
      <c r="L581" s="30">
        <v>1</v>
      </c>
      <c r="M581" s="41">
        <v>0</v>
      </c>
      <c r="N581" s="15">
        <f t="shared" si="33"/>
        <v>209</v>
      </c>
      <c r="O581" s="15">
        <f t="shared" si="34"/>
        <v>6.26</v>
      </c>
      <c r="P581" s="15">
        <f>IF(G581,INDEX(monster!$J$2:$J$606,MATCH(skill!C581,monster!$A$2:$A$606,0)),Q581)</f>
        <v>5</v>
      </c>
      <c r="Q581" s="70"/>
      <c r="R581" s="33">
        <v>120</v>
      </c>
    </row>
    <row r="582" spans="1:18" s="38" customFormat="1" x14ac:dyDescent="0.15">
      <c r="A582" s="32">
        <v>10603</v>
      </c>
      <c r="B582" s="32" t="s">
        <v>991</v>
      </c>
      <c r="C582" s="31">
        <v>1348</v>
      </c>
      <c r="D582" s="32">
        <v>8</v>
      </c>
      <c r="E582" s="15">
        <f>INDEX(monster!$H$2:$H$617,MATCH(skill!C582,monster!$A$2:$A$617,0))</f>
        <v>180.27</v>
      </c>
      <c r="F582" s="15">
        <f>INDEX(monster!$I$2:$I$617,MATCH(C582,monster!$A$2:$A$617,0))</f>
        <v>5.41</v>
      </c>
      <c r="G582" s="15" t="b">
        <f t="shared" si="32"/>
        <v>1</v>
      </c>
      <c r="H582" s="31">
        <v>1</v>
      </c>
      <c r="I582" s="15">
        <f>IF(H582&gt;0,HLOOKUP(R582/100,数值规划表!$B$37:$AA$39,3),1)</f>
        <v>1.296</v>
      </c>
      <c r="J582" s="31" t="s">
        <v>1625</v>
      </c>
      <c r="K582" s="15">
        <f>INDEX(数值规划表!$B$15:$B$18,MATCH(J582,攻击范围,0))</f>
        <v>1</v>
      </c>
      <c r="L582" s="30">
        <v>1</v>
      </c>
      <c r="M582" s="41">
        <v>0</v>
      </c>
      <c r="N582" s="15">
        <f t="shared" si="33"/>
        <v>234</v>
      </c>
      <c r="O582" s="15">
        <f t="shared" si="34"/>
        <v>7.01</v>
      </c>
      <c r="P582" s="15">
        <f>IF(G582,INDEX(monster!$J$2:$J$606,MATCH(skill!C582,monster!$A$2:$A$606,0)),Q582)</f>
        <v>5</v>
      </c>
      <c r="Q582" s="70"/>
      <c r="R582" s="33">
        <v>120</v>
      </c>
    </row>
    <row r="583" spans="1:18" s="38" customFormat="1" x14ac:dyDescent="0.15">
      <c r="A583" s="32">
        <v>10604</v>
      </c>
      <c r="B583" s="32" t="s">
        <v>992</v>
      </c>
      <c r="C583" s="31">
        <v>1349</v>
      </c>
      <c r="D583" s="32">
        <v>9</v>
      </c>
      <c r="E583" s="15">
        <f>INDEX(monster!$H$2:$H$617,MATCH(skill!C583,monster!$A$2:$A$617,0))</f>
        <v>201.91</v>
      </c>
      <c r="F583" s="15">
        <f>INDEX(monster!$I$2:$I$617,MATCH(C583,monster!$A$2:$A$617,0))</f>
        <v>6.06</v>
      </c>
      <c r="G583" s="15" t="b">
        <f t="shared" si="32"/>
        <v>1</v>
      </c>
      <c r="H583" s="31">
        <v>1</v>
      </c>
      <c r="I583" s="15">
        <f>IF(H583&gt;0,HLOOKUP(R583/100,数值规划表!$B$37:$AA$39,3),1)</f>
        <v>1.296</v>
      </c>
      <c r="J583" s="31" t="s">
        <v>1625</v>
      </c>
      <c r="K583" s="15">
        <f>INDEX(数值规划表!$B$15:$B$18,MATCH(J583,攻击范围,0))</f>
        <v>1</v>
      </c>
      <c r="L583" s="30">
        <v>1</v>
      </c>
      <c r="M583" s="41">
        <v>0</v>
      </c>
      <c r="N583" s="15">
        <f t="shared" si="33"/>
        <v>262</v>
      </c>
      <c r="O583" s="15">
        <f t="shared" si="34"/>
        <v>7.85</v>
      </c>
      <c r="P583" s="15">
        <f>IF(G583,INDEX(monster!$J$2:$J$606,MATCH(skill!C583,monster!$A$2:$A$606,0)),Q583)</f>
        <v>5</v>
      </c>
      <c r="Q583" s="70"/>
      <c r="R583" s="33">
        <v>120</v>
      </c>
    </row>
    <row r="584" spans="1:18" s="38" customFormat="1" x14ac:dyDescent="0.15">
      <c r="A584" s="32">
        <v>10605</v>
      </c>
      <c r="B584" s="32" t="s">
        <v>993</v>
      </c>
      <c r="C584" s="31">
        <v>1350</v>
      </c>
      <c r="D584" s="32">
        <v>10</v>
      </c>
      <c r="E584" s="15">
        <f>INDEX(monster!$H$2:$H$617,MATCH(skill!C584,monster!$A$2:$A$617,0))</f>
        <v>226.14</v>
      </c>
      <c r="F584" s="15">
        <f>INDEX(monster!$I$2:$I$617,MATCH(C584,monster!$A$2:$A$617,0))</f>
        <v>6.78</v>
      </c>
      <c r="G584" s="15" t="b">
        <f t="shared" si="32"/>
        <v>1</v>
      </c>
      <c r="H584" s="31">
        <v>1</v>
      </c>
      <c r="I584" s="15">
        <f>IF(H584&gt;0,HLOOKUP(R584/100,数值规划表!$B$37:$AA$39,3),1)</f>
        <v>1.296</v>
      </c>
      <c r="J584" s="31" t="s">
        <v>1625</v>
      </c>
      <c r="K584" s="15">
        <f>INDEX(数值规划表!$B$15:$B$18,MATCH(J584,攻击范围,0))</f>
        <v>1</v>
      </c>
      <c r="L584" s="30">
        <v>1</v>
      </c>
      <c r="M584" s="41">
        <v>0</v>
      </c>
      <c r="N584" s="15">
        <f t="shared" si="33"/>
        <v>293</v>
      </c>
      <c r="O584" s="15">
        <f t="shared" si="34"/>
        <v>8.7899999999999991</v>
      </c>
      <c r="P584" s="15">
        <f>IF(G584,INDEX(monster!$J$2:$J$606,MATCH(skill!C584,monster!$A$2:$A$606,0)),Q584)</f>
        <v>5</v>
      </c>
      <c r="Q584" s="70"/>
      <c r="R584" s="33">
        <v>120</v>
      </c>
    </row>
    <row r="585" spans="1:18" s="38" customFormat="1" x14ac:dyDescent="0.15">
      <c r="A585" s="32">
        <v>10606</v>
      </c>
      <c r="B585" s="32" t="s">
        <v>1517</v>
      </c>
      <c r="C585" s="31">
        <v>1340</v>
      </c>
      <c r="D585" s="32">
        <v>0</v>
      </c>
      <c r="E585" s="15">
        <f>INDEX(monster!$H$2:$H$617,MATCH(skill!C585,monster!$A$2:$A$617,0))</f>
        <v>72.81</v>
      </c>
      <c r="F585" s="15">
        <f>INDEX(monster!$I$2:$I$617,MATCH(C585,monster!$A$2:$A$617,0))</f>
        <v>2.1800000000000002</v>
      </c>
      <c r="G585" s="15" t="b">
        <f t="shared" si="32"/>
        <v>0</v>
      </c>
      <c r="H585" s="31">
        <v>0</v>
      </c>
      <c r="I585" s="15">
        <f>IF(H585&gt;0,HLOOKUP(R585/100,数值规划表!$B$37:$AA$39,3),1)</f>
        <v>1</v>
      </c>
      <c r="J585" s="31" t="s">
        <v>1625</v>
      </c>
      <c r="K585" s="15">
        <f>INDEX(数值规划表!$B$15:$B$18,MATCH(J585,攻击范围,0))</f>
        <v>1</v>
      </c>
      <c r="L585" s="30">
        <v>1</v>
      </c>
      <c r="M585" s="41">
        <v>0</v>
      </c>
      <c r="N585" s="15">
        <f t="shared" si="33"/>
        <v>73</v>
      </c>
      <c r="O585" s="15">
        <f t="shared" si="34"/>
        <v>2.1800000000000002</v>
      </c>
      <c r="P585" s="15">
        <f>IF(G585,INDEX(monster!$J$2:$J$606,MATCH(skill!C585,monster!$A$2:$A$606,0)),Q585)</f>
        <v>6</v>
      </c>
      <c r="Q585" s="70">
        <v>6</v>
      </c>
      <c r="R585" s="33">
        <v>300</v>
      </c>
    </row>
    <row r="586" spans="1:18" s="38" customFormat="1" x14ac:dyDescent="0.15">
      <c r="A586" s="32">
        <v>10607</v>
      </c>
      <c r="B586" s="32" t="s">
        <v>994</v>
      </c>
      <c r="C586" s="31">
        <v>1341</v>
      </c>
      <c r="D586" s="32">
        <v>1</v>
      </c>
      <c r="E586" s="15">
        <f>INDEX(monster!$H$2:$H$617,MATCH(skill!C586,monster!$A$2:$A$617,0))</f>
        <v>81.55</v>
      </c>
      <c r="F586" s="15">
        <f>INDEX(monster!$I$2:$I$617,MATCH(C586,monster!$A$2:$A$617,0))</f>
        <v>2.4500000000000002</v>
      </c>
      <c r="G586" s="15" t="b">
        <f t="shared" si="32"/>
        <v>0</v>
      </c>
      <c r="H586" s="31">
        <v>0</v>
      </c>
      <c r="I586" s="15">
        <f>IF(H586&gt;0,HLOOKUP(R586/100,数值规划表!$B$37:$AA$39,3),1)</f>
        <v>1</v>
      </c>
      <c r="J586" s="31" t="s">
        <v>1625</v>
      </c>
      <c r="K586" s="15">
        <f>INDEX(数值规划表!$B$15:$B$18,MATCH(J586,攻击范围,0))</f>
        <v>1</v>
      </c>
      <c r="L586" s="30">
        <v>1</v>
      </c>
      <c r="M586" s="41">
        <v>0</v>
      </c>
      <c r="N586" s="15">
        <f t="shared" si="33"/>
        <v>82</v>
      </c>
      <c r="O586" s="15">
        <f t="shared" si="34"/>
        <v>2.4500000000000002</v>
      </c>
      <c r="P586" s="15">
        <f>IF(G586,INDEX(monster!$J$2:$J$606,MATCH(skill!C586,monster!$A$2:$A$606,0)),Q586)</f>
        <v>6</v>
      </c>
      <c r="Q586" s="70">
        <v>6</v>
      </c>
      <c r="R586" s="33">
        <v>350</v>
      </c>
    </row>
    <row r="587" spans="1:18" s="38" customFormat="1" x14ac:dyDescent="0.15">
      <c r="A587" s="32">
        <v>10608</v>
      </c>
      <c r="B587" s="32" t="s">
        <v>995</v>
      </c>
      <c r="C587" s="31">
        <v>1342</v>
      </c>
      <c r="D587" s="32">
        <v>2</v>
      </c>
      <c r="E587" s="15">
        <f>INDEX(monster!$H$2:$H$617,MATCH(skill!C587,monster!$A$2:$A$617,0))</f>
        <v>91.33</v>
      </c>
      <c r="F587" s="15">
        <f>INDEX(monster!$I$2:$I$617,MATCH(C587,monster!$A$2:$A$617,0))</f>
        <v>2.74</v>
      </c>
      <c r="G587" s="15" t="b">
        <f t="shared" si="32"/>
        <v>0</v>
      </c>
      <c r="H587" s="31">
        <v>0</v>
      </c>
      <c r="I587" s="15">
        <f>IF(H587&gt;0,HLOOKUP(R587/100,数值规划表!$B$37:$AA$39,3),1)</f>
        <v>1</v>
      </c>
      <c r="J587" s="31" t="s">
        <v>1625</v>
      </c>
      <c r="K587" s="15">
        <f>INDEX(数值规划表!$B$15:$B$18,MATCH(J587,攻击范围,0))</f>
        <v>1</v>
      </c>
      <c r="L587" s="30">
        <v>1</v>
      </c>
      <c r="M587" s="41">
        <v>0</v>
      </c>
      <c r="N587" s="15">
        <f t="shared" si="33"/>
        <v>91</v>
      </c>
      <c r="O587" s="15">
        <f t="shared" si="34"/>
        <v>2.74</v>
      </c>
      <c r="P587" s="15">
        <f>IF(G587,INDEX(monster!$J$2:$J$606,MATCH(skill!C587,monster!$A$2:$A$606,0)),Q587)</f>
        <v>6</v>
      </c>
      <c r="Q587" s="70">
        <v>6</v>
      </c>
      <c r="R587" s="33">
        <v>350</v>
      </c>
    </row>
    <row r="588" spans="1:18" s="38" customFormat="1" x14ac:dyDescent="0.15">
      <c r="A588" s="32">
        <v>10609</v>
      </c>
      <c r="B588" s="32" t="s">
        <v>996</v>
      </c>
      <c r="C588" s="31">
        <v>1343</v>
      </c>
      <c r="D588" s="32">
        <v>3</v>
      </c>
      <c r="E588" s="15">
        <f>INDEX(monster!$H$2:$H$617,MATCH(skill!C588,monster!$A$2:$A$617,0))</f>
        <v>102.29</v>
      </c>
      <c r="F588" s="15">
        <f>INDEX(monster!$I$2:$I$617,MATCH(C588,monster!$A$2:$A$617,0))</f>
        <v>3.07</v>
      </c>
      <c r="G588" s="15" t="b">
        <f t="shared" si="32"/>
        <v>0</v>
      </c>
      <c r="H588" s="31">
        <v>0</v>
      </c>
      <c r="I588" s="15">
        <f>IF(H588&gt;0,HLOOKUP(R588/100,数值规划表!$B$37:$AA$39,3),1)</f>
        <v>1</v>
      </c>
      <c r="J588" s="31" t="s">
        <v>1625</v>
      </c>
      <c r="K588" s="15">
        <f>INDEX(数值规划表!$B$15:$B$18,MATCH(J588,攻击范围,0))</f>
        <v>1</v>
      </c>
      <c r="L588" s="30">
        <v>1</v>
      </c>
      <c r="M588" s="41">
        <v>0</v>
      </c>
      <c r="N588" s="15">
        <f t="shared" si="33"/>
        <v>102</v>
      </c>
      <c r="O588" s="15">
        <f t="shared" si="34"/>
        <v>3.07</v>
      </c>
      <c r="P588" s="15">
        <f>IF(G588,INDEX(monster!$J$2:$J$606,MATCH(skill!C588,monster!$A$2:$A$606,0)),Q588)</f>
        <v>6</v>
      </c>
      <c r="Q588" s="70">
        <v>6</v>
      </c>
      <c r="R588" s="33">
        <v>350</v>
      </c>
    </row>
    <row r="589" spans="1:18" s="38" customFormat="1" x14ac:dyDescent="0.15">
      <c r="A589" s="32">
        <v>10610</v>
      </c>
      <c r="B589" s="32" t="s">
        <v>997</v>
      </c>
      <c r="C589" s="31">
        <v>1344</v>
      </c>
      <c r="D589" s="32">
        <v>4</v>
      </c>
      <c r="E589" s="15">
        <f>INDEX(monster!$H$2:$H$617,MATCH(skill!C589,monster!$A$2:$A$617,0))</f>
        <v>114.57</v>
      </c>
      <c r="F589" s="15">
        <f>INDEX(monster!$I$2:$I$617,MATCH(C589,monster!$A$2:$A$617,0))</f>
        <v>3.44</v>
      </c>
      <c r="G589" s="15" t="b">
        <f t="shared" si="32"/>
        <v>0</v>
      </c>
      <c r="H589" s="31">
        <v>0</v>
      </c>
      <c r="I589" s="15">
        <f>IF(H589&gt;0,HLOOKUP(R589/100,数值规划表!$B$37:$AA$39,3),1)</f>
        <v>1</v>
      </c>
      <c r="J589" s="31" t="s">
        <v>1625</v>
      </c>
      <c r="K589" s="15">
        <f>INDEX(数值规划表!$B$15:$B$18,MATCH(J589,攻击范围,0))</f>
        <v>1</v>
      </c>
      <c r="L589" s="30">
        <v>1</v>
      </c>
      <c r="M589" s="41">
        <v>0</v>
      </c>
      <c r="N589" s="15">
        <f t="shared" si="33"/>
        <v>115</v>
      </c>
      <c r="O589" s="15">
        <f t="shared" si="34"/>
        <v>3.44</v>
      </c>
      <c r="P589" s="15">
        <f>IF(G589,INDEX(monster!$J$2:$J$606,MATCH(skill!C589,monster!$A$2:$A$606,0)),Q589)</f>
        <v>6</v>
      </c>
      <c r="Q589" s="70">
        <v>6</v>
      </c>
      <c r="R589" s="33">
        <v>350</v>
      </c>
    </row>
    <row r="590" spans="1:18" s="38" customFormat="1" x14ac:dyDescent="0.15">
      <c r="A590" s="32">
        <v>10611</v>
      </c>
      <c r="B590" s="32" t="s">
        <v>998</v>
      </c>
      <c r="C590" s="31">
        <v>1345</v>
      </c>
      <c r="D590" s="32">
        <v>5</v>
      </c>
      <c r="E590" s="15">
        <f>INDEX(monster!$H$2:$H$617,MATCH(skill!C590,monster!$A$2:$A$617,0))</f>
        <v>128.32</v>
      </c>
      <c r="F590" s="15">
        <f>INDEX(monster!$I$2:$I$617,MATCH(C590,monster!$A$2:$A$617,0))</f>
        <v>3.85</v>
      </c>
      <c r="G590" s="15" t="b">
        <f t="shared" si="32"/>
        <v>0</v>
      </c>
      <c r="H590" s="31">
        <v>0</v>
      </c>
      <c r="I590" s="15">
        <f>IF(H590&gt;0,HLOOKUP(R590/100,数值规划表!$B$37:$AA$39,3),1)</f>
        <v>1</v>
      </c>
      <c r="J590" s="31" t="s">
        <v>1625</v>
      </c>
      <c r="K590" s="15">
        <f>INDEX(数值规划表!$B$15:$B$18,MATCH(J590,攻击范围,0))</f>
        <v>1</v>
      </c>
      <c r="L590" s="30">
        <v>1</v>
      </c>
      <c r="M590" s="41">
        <v>0</v>
      </c>
      <c r="N590" s="15">
        <f t="shared" si="33"/>
        <v>128</v>
      </c>
      <c r="O590" s="15">
        <f t="shared" si="34"/>
        <v>3.85</v>
      </c>
      <c r="P590" s="15">
        <f>IF(G590,INDEX(monster!$J$2:$J$606,MATCH(skill!C590,monster!$A$2:$A$606,0)),Q590)</f>
        <v>6</v>
      </c>
      <c r="Q590" s="70">
        <v>6</v>
      </c>
      <c r="R590" s="33">
        <v>350</v>
      </c>
    </row>
    <row r="591" spans="1:18" s="38" customFormat="1" x14ac:dyDescent="0.15">
      <c r="A591" s="32">
        <v>10612</v>
      </c>
      <c r="B591" s="32" t="s">
        <v>999</v>
      </c>
      <c r="C591" s="31">
        <v>1346</v>
      </c>
      <c r="D591" s="32">
        <v>6</v>
      </c>
      <c r="E591" s="15">
        <f>INDEX(monster!$H$2:$H$617,MATCH(skill!C591,monster!$A$2:$A$617,0))</f>
        <v>143.71</v>
      </c>
      <c r="F591" s="15">
        <f>INDEX(monster!$I$2:$I$617,MATCH(C591,monster!$A$2:$A$617,0))</f>
        <v>4.3099999999999996</v>
      </c>
      <c r="G591" s="15" t="b">
        <f t="shared" si="32"/>
        <v>0</v>
      </c>
      <c r="H591" s="31">
        <v>0</v>
      </c>
      <c r="I591" s="15">
        <f>IF(H591&gt;0,HLOOKUP(R591/100,数值规划表!$B$37:$AA$39,3),1)</f>
        <v>1</v>
      </c>
      <c r="J591" s="31" t="s">
        <v>1625</v>
      </c>
      <c r="K591" s="15">
        <f>INDEX(数值规划表!$B$15:$B$18,MATCH(J591,攻击范围,0))</f>
        <v>1</v>
      </c>
      <c r="L591" s="30">
        <v>1</v>
      </c>
      <c r="M591" s="41">
        <v>0</v>
      </c>
      <c r="N591" s="15">
        <f t="shared" si="33"/>
        <v>144</v>
      </c>
      <c r="O591" s="15">
        <f t="shared" si="34"/>
        <v>4.3099999999999996</v>
      </c>
      <c r="P591" s="15">
        <f>IF(G591,INDEX(monster!$J$2:$J$606,MATCH(skill!C591,monster!$A$2:$A$606,0)),Q591)</f>
        <v>6</v>
      </c>
      <c r="Q591" s="70">
        <v>6</v>
      </c>
      <c r="R591" s="33">
        <v>350</v>
      </c>
    </row>
    <row r="592" spans="1:18" s="38" customFormat="1" x14ac:dyDescent="0.15">
      <c r="A592" s="32">
        <v>10613</v>
      </c>
      <c r="B592" s="32" t="s">
        <v>1000</v>
      </c>
      <c r="C592" s="31">
        <v>1347</v>
      </c>
      <c r="D592" s="32">
        <v>7</v>
      </c>
      <c r="E592" s="15">
        <f>INDEX(monster!$H$2:$H$617,MATCH(skill!C592,monster!$A$2:$A$617,0))</f>
        <v>160.96</v>
      </c>
      <c r="F592" s="15">
        <f>INDEX(monster!$I$2:$I$617,MATCH(C592,monster!$A$2:$A$617,0))</f>
        <v>4.83</v>
      </c>
      <c r="G592" s="15" t="b">
        <f t="shared" si="32"/>
        <v>0</v>
      </c>
      <c r="H592" s="31">
        <v>0</v>
      </c>
      <c r="I592" s="15">
        <f>IF(H592&gt;0,HLOOKUP(R592/100,数值规划表!$B$37:$AA$39,3),1)</f>
        <v>1</v>
      </c>
      <c r="J592" s="31" t="s">
        <v>1625</v>
      </c>
      <c r="K592" s="15">
        <f>INDEX(数值规划表!$B$15:$B$18,MATCH(J592,攻击范围,0))</f>
        <v>1</v>
      </c>
      <c r="L592" s="30">
        <v>1</v>
      </c>
      <c r="M592" s="41">
        <v>0</v>
      </c>
      <c r="N592" s="15">
        <f t="shared" si="33"/>
        <v>161</v>
      </c>
      <c r="O592" s="15">
        <f t="shared" si="34"/>
        <v>4.83</v>
      </c>
      <c r="P592" s="15">
        <f>IF(G592,INDEX(monster!$J$2:$J$606,MATCH(skill!C592,monster!$A$2:$A$606,0)),Q592)</f>
        <v>6</v>
      </c>
      <c r="Q592" s="70">
        <v>6</v>
      </c>
      <c r="R592" s="33">
        <v>350</v>
      </c>
    </row>
    <row r="593" spans="1:18" s="38" customFormat="1" x14ac:dyDescent="0.15">
      <c r="A593" s="32">
        <v>10614</v>
      </c>
      <c r="B593" s="32" t="s">
        <v>1001</v>
      </c>
      <c r="C593" s="31">
        <v>1348</v>
      </c>
      <c r="D593" s="32">
        <v>8</v>
      </c>
      <c r="E593" s="15">
        <f>INDEX(monster!$H$2:$H$617,MATCH(skill!C593,monster!$A$2:$A$617,0))</f>
        <v>180.27</v>
      </c>
      <c r="F593" s="15">
        <f>INDEX(monster!$I$2:$I$617,MATCH(C593,monster!$A$2:$A$617,0))</f>
        <v>5.41</v>
      </c>
      <c r="G593" s="15" t="b">
        <f t="shared" si="32"/>
        <v>0</v>
      </c>
      <c r="H593" s="31">
        <v>0</v>
      </c>
      <c r="I593" s="15">
        <f>IF(H593&gt;0,HLOOKUP(R593/100,数值规划表!$B$37:$AA$39,3),1)</f>
        <v>1</v>
      </c>
      <c r="J593" s="31" t="s">
        <v>1625</v>
      </c>
      <c r="K593" s="15">
        <f>INDEX(数值规划表!$B$15:$B$18,MATCH(J593,攻击范围,0))</f>
        <v>1</v>
      </c>
      <c r="L593" s="30">
        <v>1</v>
      </c>
      <c r="M593" s="41">
        <v>0</v>
      </c>
      <c r="N593" s="15">
        <f t="shared" si="33"/>
        <v>180</v>
      </c>
      <c r="O593" s="15">
        <f t="shared" si="34"/>
        <v>5.41</v>
      </c>
      <c r="P593" s="15">
        <f>IF(G593,INDEX(monster!$J$2:$J$606,MATCH(skill!C593,monster!$A$2:$A$606,0)),Q593)</f>
        <v>6</v>
      </c>
      <c r="Q593" s="70">
        <v>6</v>
      </c>
      <c r="R593" s="33">
        <v>350</v>
      </c>
    </row>
    <row r="594" spans="1:18" s="38" customFormat="1" x14ac:dyDescent="0.15">
      <c r="A594" s="32">
        <v>10615</v>
      </c>
      <c r="B594" s="32" t="s">
        <v>1002</v>
      </c>
      <c r="C594" s="31">
        <v>1349</v>
      </c>
      <c r="D594" s="32">
        <v>9</v>
      </c>
      <c r="E594" s="15">
        <f>INDEX(monster!$H$2:$H$617,MATCH(skill!C594,monster!$A$2:$A$617,0))</f>
        <v>201.91</v>
      </c>
      <c r="F594" s="15">
        <f>INDEX(monster!$I$2:$I$617,MATCH(C594,monster!$A$2:$A$617,0))</f>
        <v>6.06</v>
      </c>
      <c r="G594" s="15" t="b">
        <f t="shared" si="32"/>
        <v>0</v>
      </c>
      <c r="H594" s="31">
        <v>0</v>
      </c>
      <c r="I594" s="15">
        <f>IF(H594&gt;0,HLOOKUP(R594/100,数值规划表!$B$37:$AA$39,3),1)</f>
        <v>1</v>
      </c>
      <c r="J594" s="31" t="s">
        <v>1625</v>
      </c>
      <c r="K594" s="15">
        <f>INDEX(数值规划表!$B$15:$B$18,MATCH(J594,攻击范围,0))</f>
        <v>1</v>
      </c>
      <c r="L594" s="30">
        <v>1</v>
      </c>
      <c r="M594" s="41">
        <v>0</v>
      </c>
      <c r="N594" s="15">
        <f t="shared" si="33"/>
        <v>202</v>
      </c>
      <c r="O594" s="15">
        <f t="shared" si="34"/>
        <v>6.06</v>
      </c>
      <c r="P594" s="15">
        <f>IF(G594,INDEX(monster!$J$2:$J$606,MATCH(skill!C594,monster!$A$2:$A$606,0)),Q594)</f>
        <v>6</v>
      </c>
      <c r="Q594" s="70">
        <v>6</v>
      </c>
      <c r="R594" s="33">
        <v>350</v>
      </c>
    </row>
    <row r="595" spans="1:18" s="38" customFormat="1" x14ac:dyDescent="0.15">
      <c r="A595" s="32">
        <v>10616</v>
      </c>
      <c r="B595" s="32" t="s">
        <v>1003</v>
      </c>
      <c r="C595" s="31">
        <v>1350</v>
      </c>
      <c r="D595" s="32">
        <v>10</v>
      </c>
      <c r="E595" s="15">
        <f>INDEX(monster!$H$2:$H$617,MATCH(skill!C595,monster!$A$2:$A$617,0))</f>
        <v>226.14</v>
      </c>
      <c r="F595" s="15">
        <f>INDEX(monster!$I$2:$I$617,MATCH(C595,monster!$A$2:$A$617,0))</f>
        <v>6.78</v>
      </c>
      <c r="G595" s="15" t="b">
        <f t="shared" si="32"/>
        <v>0</v>
      </c>
      <c r="H595" s="31">
        <v>0</v>
      </c>
      <c r="I595" s="15">
        <f>IF(H595&gt;0,HLOOKUP(R595/100,数值规划表!$B$37:$AA$39,3),1)</f>
        <v>1</v>
      </c>
      <c r="J595" s="31" t="s">
        <v>1625</v>
      </c>
      <c r="K595" s="15">
        <f>INDEX(数值规划表!$B$15:$B$18,MATCH(J595,攻击范围,0))</f>
        <v>1</v>
      </c>
      <c r="L595" s="30">
        <v>1</v>
      </c>
      <c r="M595" s="41">
        <v>0</v>
      </c>
      <c r="N595" s="15">
        <f t="shared" si="33"/>
        <v>226</v>
      </c>
      <c r="O595" s="15">
        <f t="shared" si="34"/>
        <v>6.78</v>
      </c>
      <c r="P595" s="15">
        <f>IF(G595,INDEX(monster!$J$2:$J$606,MATCH(skill!C595,monster!$A$2:$A$606,0)),Q595)</f>
        <v>6</v>
      </c>
      <c r="Q595" s="70">
        <v>6</v>
      </c>
      <c r="R595" s="33">
        <v>350</v>
      </c>
    </row>
    <row r="596" spans="1:18" s="38" customFormat="1" x14ac:dyDescent="0.15">
      <c r="A596" s="32">
        <v>10617</v>
      </c>
      <c r="B596" s="32" t="s">
        <v>1518</v>
      </c>
      <c r="C596" s="31">
        <v>1351</v>
      </c>
      <c r="D596" s="32">
        <v>0</v>
      </c>
      <c r="E596" s="15">
        <f>INDEX(monster!$H$2:$H$617,MATCH(skill!C596,monster!$A$2:$A$617,0))</f>
        <v>39.58</v>
      </c>
      <c r="F596" s="15">
        <f>INDEX(monster!$I$2:$I$617,MATCH(C596,monster!$A$2:$A$617,0))</f>
        <v>1.19</v>
      </c>
      <c r="G596" s="15" t="b">
        <f t="shared" si="32"/>
        <v>1</v>
      </c>
      <c r="H596" s="31">
        <v>1</v>
      </c>
      <c r="I596" s="15">
        <f>IF(H596&gt;0,HLOOKUP(R596/100,数值规划表!$B$37:$AA$39,3),1)</f>
        <v>2.3760000000000003</v>
      </c>
      <c r="J596" s="31" t="s">
        <v>1625</v>
      </c>
      <c r="K596" s="15">
        <f>INDEX(数值规划表!$B$15:$B$18,MATCH(J596,攻击范围,0))</f>
        <v>1</v>
      </c>
      <c r="L596" s="30">
        <v>1</v>
      </c>
      <c r="M596" s="41">
        <v>0</v>
      </c>
      <c r="N596" s="15">
        <f t="shared" si="33"/>
        <v>94</v>
      </c>
      <c r="O596" s="15">
        <f t="shared" si="34"/>
        <v>2.83</v>
      </c>
      <c r="P596" s="15">
        <f>IF(G596,INDEX(monster!$J$2:$J$606,MATCH(skill!C596,monster!$A$2:$A$606,0)),Q596)</f>
        <v>1.2</v>
      </c>
      <c r="Q596" s="70"/>
      <c r="R596" s="33">
        <v>180</v>
      </c>
    </row>
    <row r="597" spans="1:18" s="38" customFormat="1" x14ac:dyDescent="0.15">
      <c r="A597" s="32">
        <v>10618</v>
      </c>
      <c r="B597" s="32" t="s">
        <v>1519</v>
      </c>
      <c r="C597" s="31">
        <v>1352</v>
      </c>
      <c r="D597" s="32">
        <v>1</v>
      </c>
      <c r="E597" s="15">
        <f>INDEX(monster!$H$2:$H$617,MATCH(skill!C597,monster!$A$2:$A$617,0))</f>
        <v>44.33</v>
      </c>
      <c r="F597" s="15">
        <f>INDEX(monster!$I$2:$I$617,MATCH(C597,monster!$A$2:$A$617,0))</f>
        <v>1.33</v>
      </c>
      <c r="G597" s="15" t="b">
        <f t="shared" si="32"/>
        <v>1</v>
      </c>
      <c r="H597" s="31">
        <v>1</v>
      </c>
      <c r="I597" s="15">
        <f>IF(H597&gt;0,HLOOKUP(R597/100,数值规划表!$B$37:$AA$39,3),1)</f>
        <v>2.3760000000000003</v>
      </c>
      <c r="J597" s="31" t="s">
        <v>1625</v>
      </c>
      <c r="K597" s="15">
        <f>INDEX(数值规划表!$B$15:$B$18,MATCH(J597,攻击范围,0))</f>
        <v>1</v>
      </c>
      <c r="L597" s="30">
        <v>1</v>
      </c>
      <c r="M597" s="41">
        <v>0</v>
      </c>
      <c r="N597" s="15">
        <f t="shared" si="33"/>
        <v>105</v>
      </c>
      <c r="O597" s="15">
        <f t="shared" si="34"/>
        <v>3.16</v>
      </c>
      <c r="P597" s="15">
        <f>IF(G597,INDEX(monster!$J$2:$J$606,MATCH(skill!C597,monster!$A$2:$A$606,0)),Q597)</f>
        <v>1.2</v>
      </c>
      <c r="Q597" s="70"/>
      <c r="R597" s="33">
        <v>180</v>
      </c>
    </row>
    <row r="598" spans="1:18" s="38" customFormat="1" x14ac:dyDescent="0.15">
      <c r="A598" s="32">
        <v>10619</v>
      </c>
      <c r="B598" s="32" t="s">
        <v>1004</v>
      </c>
      <c r="C598" s="31">
        <v>1353</v>
      </c>
      <c r="D598" s="32">
        <v>2</v>
      </c>
      <c r="E598" s="15">
        <f>INDEX(monster!$H$2:$H$617,MATCH(skill!C598,monster!$A$2:$A$617,0))</f>
        <v>49.65</v>
      </c>
      <c r="F598" s="15">
        <f>INDEX(monster!$I$2:$I$617,MATCH(C598,monster!$A$2:$A$617,0))</f>
        <v>1.49</v>
      </c>
      <c r="G598" s="15" t="b">
        <f t="shared" si="32"/>
        <v>1</v>
      </c>
      <c r="H598" s="31">
        <v>1</v>
      </c>
      <c r="I598" s="15">
        <f>IF(H598&gt;0,HLOOKUP(R598/100,数值规划表!$B$37:$AA$39,3),1)</f>
        <v>2.3760000000000003</v>
      </c>
      <c r="J598" s="31" t="s">
        <v>1625</v>
      </c>
      <c r="K598" s="15">
        <f>INDEX(数值规划表!$B$15:$B$18,MATCH(J598,攻击范围,0))</f>
        <v>1</v>
      </c>
      <c r="L598" s="30">
        <v>1</v>
      </c>
      <c r="M598" s="41">
        <v>0</v>
      </c>
      <c r="N598" s="15">
        <f t="shared" si="33"/>
        <v>118</v>
      </c>
      <c r="O598" s="15">
        <f t="shared" si="34"/>
        <v>3.54</v>
      </c>
      <c r="P598" s="15">
        <f>IF(G598,INDEX(monster!$J$2:$J$606,MATCH(skill!C598,monster!$A$2:$A$606,0)),Q598)</f>
        <v>1.2</v>
      </c>
      <c r="Q598" s="70"/>
      <c r="R598" s="33">
        <v>180</v>
      </c>
    </row>
    <row r="599" spans="1:18" s="38" customFormat="1" x14ac:dyDescent="0.15">
      <c r="A599" s="32">
        <v>10620</v>
      </c>
      <c r="B599" s="32" t="s">
        <v>1005</v>
      </c>
      <c r="C599" s="31">
        <v>1354</v>
      </c>
      <c r="D599" s="32">
        <v>3</v>
      </c>
      <c r="E599" s="15">
        <f>INDEX(monster!$H$2:$H$617,MATCH(skill!C599,monster!$A$2:$A$617,0))</f>
        <v>55.61</v>
      </c>
      <c r="F599" s="15">
        <f>INDEX(monster!$I$2:$I$617,MATCH(C599,monster!$A$2:$A$617,0))</f>
        <v>1.67</v>
      </c>
      <c r="G599" s="15" t="b">
        <f t="shared" si="32"/>
        <v>1</v>
      </c>
      <c r="H599" s="31">
        <v>1</v>
      </c>
      <c r="I599" s="15">
        <f>IF(H599&gt;0,HLOOKUP(R599/100,数值规划表!$B$37:$AA$39,3),1)</f>
        <v>2.3760000000000003</v>
      </c>
      <c r="J599" s="31" t="s">
        <v>1625</v>
      </c>
      <c r="K599" s="15">
        <f>INDEX(数值规划表!$B$15:$B$18,MATCH(J599,攻击范围,0))</f>
        <v>1</v>
      </c>
      <c r="L599" s="30">
        <v>1</v>
      </c>
      <c r="M599" s="41">
        <v>0</v>
      </c>
      <c r="N599" s="15">
        <f t="shared" si="33"/>
        <v>132</v>
      </c>
      <c r="O599" s="15">
        <f t="shared" si="34"/>
        <v>3.97</v>
      </c>
      <c r="P599" s="15">
        <f>IF(G599,INDEX(monster!$J$2:$J$606,MATCH(skill!C599,monster!$A$2:$A$606,0)),Q599)</f>
        <v>1.2</v>
      </c>
      <c r="Q599" s="70"/>
      <c r="R599" s="33">
        <v>180</v>
      </c>
    </row>
    <row r="600" spans="1:18" s="38" customFormat="1" x14ac:dyDescent="0.15">
      <c r="A600" s="32">
        <v>10621</v>
      </c>
      <c r="B600" s="32" t="s">
        <v>1006</v>
      </c>
      <c r="C600" s="31">
        <v>1355</v>
      </c>
      <c r="D600" s="32">
        <v>4</v>
      </c>
      <c r="E600" s="15">
        <f>INDEX(monster!$H$2:$H$617,MATCH(skill!C600,monster!$A$2:$A$617,0))</f>
        <v>62.28</v>
      </c>
      <c r="F600" s="15">
        <f>INDEX(monster!$I$2:$I$617,MATCH(C600,monster!$A$2:$A$617,0))</f>
        <v>1.87</v>
      </c>
      <c r="G600" s="15" t="b">
        <f t="shared" si="32"/>
        <v>1</v>
      </c>
      <c r="H600" s="31">
        <v>1</v>
      </c>
      <c r="I600" s="15">
        <f>IF(H600&gt;0,HLOOKUP(R600/100,数值规划表!$B$37:$AA$39,3),1)</f>
        <v>2.3760000000000003</v>
      </c>
      <c r="J600" s="31" t="s">
        <v>1625</v>
      </c>
      <c r="K600" s="15">
        <f>INDEX(数值规划表!$B$15:$B$18,MATCH(J600,攻击范围,0))</f>
        <v>1</v>
      </c>
      <c r="L600" s="30">
        <v>1</v>
      </c>
      <c r="M600" s="41">
        <v>0</v>
      </c>
      <c r="N600" s="15">
        <f t="shared" si="33"/>
        <v>148</v>
      </c>
      <c r="O600" s="15">
        <f t="shared" si="34"/>
        <v>4.4400000000000004</v>
      </c>
      <c r="P600" s="15">
        <f>IF(G600,INDEX(monster!$J$2:$J$606,MATCH(skill!C600,monster!$A$2:$A$606,0)),Q600)</f>
        <v>1.2</v>
      </c>
      <c r="Q600" s="70"/>
      <c r="R600" s="33">
        <v>180</v>
      </c>
    </row>
    <row r="601" spans="1:18" s="38" customFormat="1" x14ac:dyDescent="0.15">
      <c r="A601" s="32">
        <v>10622</v>
      </c>
      <c r="B601" s="32" t="s">
        <v>1007</v>
      </c>
      <c r="C601" s="31">
        <v>1356</v>
      </c>
      <c r="D601" s="32">
        <v>5</v>
      </c>
      <c r="E601" s="15">
        <f>INDEX(monster!$H$2:$H$617,MATCH(skill!C601,monster!$A$2:$A$617,0))</f>
        <v>69.75</v>
      </c>
      <c r="F601" s="15">
        <f>INDEX(monster!$I$2:$I$617,MATCH(C601,monster!$A$2:$A$617,0))</f>
        <v>2.09</v>
      </c>
      <c r="G601" s="15" t="b">
        <f t="shared" si="32"/>
        <v>1</v>
      </c>
      <c r="H601" s="31">
        <v>1</v>
      </c>
      <c r="I601" s="15">
        <f>IF(H601&gt;0,HLOOKUP(R601/100,数值规划表!$B$37:$AA$39,3),1)</f>
        <v>2.3760000000000003</v>
      </c>
      <c r="J601" s="31" t="s">
        <v>1625</v>
      </c>
      <c r="K601" s="15">
        <f>INDEX(数值规划表!$B$15:$B$18,MATCH(J601,攻击范围,0))</f>
        <v>1</v>
      </c>
      <c r="L601" s="30">
        <v>1</v>
      </c>
      <c r="M601" s="41">
        <v>0</v>
      </c>
      <c r="N601" s="15">
        <f t="shared" si="33"/>
        <v>166</v>
      </c>
      <c r="O601" s="15">
        <f t="shared" si="34"/>
        <v>4.97</v>
      </c>
      <c r="P601" s="15">
        <f>IF(G601,INDEX(monster!$J$2:$J$606,MATCH(skill!C601,monster!$A$2:$A$606,0)),Q601)</f>
        <v>1.2</v>
      </c>
      <c r="Q601" s="70"/>
      <c r="R601" s="33">
        <v>180</v>
      </c>
    </row>
    <row r="602" spans="1:18" s="38" customFormat="1" x14ac:dyDescent="0.15">
      <c r="A602" s="32">
        <v>10623</v>
      </c>
      <c r="B602" s="32" t="s">
        <v>1008</v>
      </c>
      <c r="C602" s="31">
        <v>1357</v>
      </c>
      <c r="D602" s="32">
        <v>6</v>
      </c>
      <c r="E602" s="15">
        <f>INDEX(monster!$H$2:$H$617,MATCH(skill!C602,monster!$A$2:$A$617,0))</f>
        <v>78.12</v>
      </c>
      <c r="F602" s="15">
        <f>INDEX(monster!$I$2:$I$617,MATCH(C602,monster!$A$2:$A$617,0))</f>
        <v>2.34</v>
      </c>
      <c r="G602" s="15" t="b">
        <f t="shared" si="32"/>
        <v>1</v>
      </c>
      <c r="H602" s="31">
        <v>1</v>
      </c>
      <c r="I602" s="15">
        <f>IF(H602&gt;0,HLOOKUP(R602/100,数值规划表!$B$37:$AA$39,3),1)</f>
        <v>2.3760000000000003</v>
      </c>
      <c r="J602" s="31" t="s">
        <v>1625</v>
      </c>
      <c r="K602" s="15">
        <f>INDEX(数值规划表!$B$15:$B$18,MATCH(J602,攻击范围,0))</f>
        <v>1</v>
      </c>
      <c r="L602" s="30">
        <v>1</v>
      </c>
      <c r="M602" s="41">
        <v>0</v>
      </c>
      <c r="N602" s="15">
        <f t="shared" si="33"/>
        <v>186</v>
      </c>
      <c r="O602" s="15">
        <f t="shared" si="34"/>
        <v>5.56</v>
      </c>
      <c r="P602" s="15">
        <f>IF(G602,INDEX(monster!$J$2:$J$606,MATCH(skill!C602,monster!$A$2:$A$606,0)),Q602)</f>
        <v>1.2</v>
      </c>
      <c r="Q602" s="70"/>
      <c r="R602" s="33">
        <v>180</v>
      </c>
    </row>
    <row r="603" spans="1:18" s="38" customFormat="1" x14ac:dyDescent="0.15">
      <c r="A603" s="32">
        <v>10624</v>
      </c>
      <c r="B603" s="32" t="s">
        <v>1009</v>
      </c>
      <c r="C603" s="31">
        <v>1358</v>
      </c>
      <c r="D603" s="32">
        <v>7</v>
      </c>
      <c r="E603" s="15">
        <f>INDEX(monster!$H$2:$H$617,MATCH(skill!C603,monster!$A$2:$A$617,0))</f>
        <v>87.5</v>
      </c>
      <c r="F603" s="15">
        <f>INDEX(monster!$I$2:$I$617,MATCH(C603,monster!$A$2:$A$617,0))</f>
        <v>2.62</v>
      </c>
      <c r="G603" s="15" t="b">
        <f t="shared" si="32"/>
        <v>1</v>
      </c>
      <c r="H603" s="31">
        <v>1</v>
      </c>
      <c r="I603" s="15">
        <f>IF(H603&gt;0,HLOOKUP(R603/100,数值规划表!$B$37:$AA$39,3),1)</f>
        <v>2.3760000000000003</v>
      </c>
      <c r="J603" s="31" t="s">
        <v>1625</v>
      </c>
      <c r="K603" s="15">
        <f>INDEX(数值规划表!$B$15:$B$18,MATCH(J603,攻击范围,0))</f>
        <v>1</v>
      </c>
      <c r="L603" s="30">
        <v>1</v>
      </c>
      <c r="M603" s="41">
        <v>0</v>
      </c>
      <c r="N603" s="15">
        <f t="shared" si="33"/>
        <v>208</v>
      </c>
      <c r="O603" s="15">
        <f t="shared" si="34"/>
        <v>6.23</v>
      </c>
      <c r="P603" s="15">
        <f>IF(G603,INDEX(monster!$J$2:$J$606,MATCH(skill!C603,monster!$A$2:$A$606,0)),Q603)</f>
        <v>1.2</v>
      </c>
      <c r="Q603" s="70"/>
      <c r="R603" s="33">
        <v>180</v>
      </c>
    </row>
    <row r="604" spans="1:18" s="38" customFormat="1" x14ac:dyDescent="0.15">
      <c r="A604" s="32">
        <v>10625</v>
      </c>
      <c r="B604" s="32" t="s">
        <v>1010</v>
      </c>
      <c r="C604" s="31">
        <v>1359</v>
      </c>
      <c r="D604" s="32">
        <v>8</v>
      </c>
      <c r="E604" s="15">
        <f>INDEX(monster!$H$2:$H$617,MATCH(skill!C604,monster!$A$2:$A$617,0))</f>
        <v>98</v>
      </c>
      <c r="F604" s="15">
        <f>INDEX(monster!$I$2:$I$617,MATCH(C604,monster!$A$2:$A$617,0))</f>
        <v>2.94</v>
      </c>
      <c r="G604" s="15" t="b">
        <f t="shared" si="32"/>
        <v>1</v>
      </c>
      <c r="H604" s="31">
        <v>1</v>
      </c>
      <c r="I604" s="15">
        <f>IF(H604&gt;0,HLOOKUP(R604/100,数值规划表!$B$37:$AA$39,3),1)</f>
        <v>2.3760000000000003</v>
      </c>
      <c r="J604" s="31" t="s">
        <v>1625</v>
      </c>
      <c r="K604" s="15">
        <f>INDEX(数值规划表!$B$15:$B$18,MATCH(J604,攻击范围,0))</f>
        <v>1</v>
      </c>
      <c r="L604" s="30">
        <v>1</v>
      </c>
      <c r="M604" s="41">
        <v>0</v>
      </c>
      <c r="N604" s="15">
        <f t="shared" si="33"/>
        <v>233</v>
      </c>
      <c r="O604" s="15">
        <f t="shared" si="34"/>
        <v>6.99</v>
      </c>
      <c r="P604" s="15">
        <f>IF(G604,INDEX(monster!$J$2:$J$606,MATCH(skill!C604,monster!$A$2:$A$606,0)),Q604)</f>
        <v>1.2</v>
      </c>
      <c r="Q604" s="70"/>
      <c r="R604" s="33">
        <v>180</v>
      </c>
    </row>
    <row r="605" spans="1:18" s="38" customFormat="1" x14ac:dyDescent="0.15">
      <c r="A605" s="32">
        <v>10626</v>
      </c>
      <c r="B605" s="32" t="s">
        <v>1011</v>
      </c>
      <c r="C605" s="31">
        <v>1360</v>
      </c>
      <c r="D605" s="32">
        <v>9</v>
      </c>
      <c r="E605" s="15">
        <f>INDEX(monster!$H$2:$H$617,MATCH(skill!C605,monster!$A$2:$A$617,0))</f>
        <v>109.76</v>
      </c>
      <c r="F605" s="15">
        <f>INDEX(monster!$I$2:$I$617,MATCH(C605,monster!$A$2:$A$617,0))</f>
        <v>3.29</v>
      </c>
      <c r="G605" s="15" t="b">
        <f t="shared" si="32"/>
        <v>1</v>
      </c>
      <c r="H605" s="31">
        <v>1</v>
      </c>
      <c r="I605" s="15">
        <f>IF(H605&gt;0,HLOOKUP(R605/100,数值规划表!$B$37:$AA$39,3),1)</f>
        <v>2.3760000000000003</v>
      </c>
      <c r="J605" s="31" t="s">
        <v>1625</v>
      </c>
      <c r="K605" s="15">
        <f>INDEX(数值规划表!$B$15:$B$18,MATCH(J605,攻击范围,0))</f>
        <v>1</v>
      </c>
      <c r="L605" s="30">
        <v>1</v>
      </c>
      <c r="M605" s="41">
        <v>0</v>
      </c>
      <c r="N605" s="15">
        <f t="shared" si="33"/>
        <v>261</v>
      </c>
      <c r="O605" s="15">
        <f t="shared" si="34"/>
        <v>7.82</v>
      </c>
      <c r="P605" s="15">
        <f>IF(G605,INDEX(monster!$J$2:$J$606,MATCH(skill!C605,monster!$A$2:$A$606,0)),Q605)</f>
        <v>1.2</v>
      </c>
      <c r="Q605" s="70"/>
      <c r="R605" s="33">
        <v>180</v>
      </c>
    </row>
    <row r="606" spans="1:18" s="38" customFormat="1" x14ac:dyDescent="0.15">
      <c r="A606" s="32">
        <v>10627</v>
      </c>
      <c r="B606" s="32" t="s">
        <v>1012</v>
      </c>
      <c r="C606" s="31">
        <v>1361</v>
      </c>
      <c r="D606" s="32">
        <v>10</v>
      </c>
      <c r="E606" s="15">
        <f>INDEX(monster!$H$2:$H$617,MATCH(skill!C606,monster!$A$2:$A$617,0))</f>
        <v>122.93</v>
      </c>
      <c r="F606" s="15">
        <f>INDEX(monster!$I$2:$I$617,MATCH(C606,monster!$A$2:$A$617,0))</f>
        <v>3.69</v>
      </c>
      <c r="G606" s="15" t="b">
        <f t="shared" si="32"/>
        <v>1</v>
      </c>
      <c r="H606" s="31">
        <v>1</v>
      </c>
      <c r="I606" s="15">
        <f>IF(H606&gt;0,HLOOKUP(R606/100,数值规划表!$B$37:$AA$39,3),1)</f>
        <v>2.3760000000000003</v>
      </c>
      <c r="J606" s="31" t="s">
        <v>1625</v>
      </c>
      <c r="K606" s="15">
        <f>INDEX(数值规划表!$B$15:$B$18,MATCH(J606,攻击范围,0))</f>
        <v>1</v>
      </c>
      <c r="L606" s="30">
        <v>1</v>
      </c>
      <c r="M606" s="41">
        <v>0</v>
      </c>
      <c r="N606" s="15">
        <f t="shared" si="33"/>
        <v>292</v>
      </c>
      <c r="O606" s="15">
        <f t="shared" si="34"/>
        <v>8.77</v>
      </c>
      <c r="P606" s="15">
        <f>IF(G606,INDEX(monster!$J$2:$J$606,MATCH(skill!C606,monster!$A$2:$A$606,0)),Q606)</f>
        <v>1.2</v>
      </c>
      <c r="Q606" s="70"/>
      <c r="R606" s="33">
        <v>180</v>
      </c>
    </row>
    <row r="607" spans="1:18" s="38" customFormat="1" x14ac:dyDescent="0.15">
      <c r="A607" s="32">
        <v>10650</v>
      </c>
      <c r="B607" s="32" t="s">
        <v>1520</v>
      </c>
      <c r="C607" s="31">
        <v>1362</v>
      </c>
      <c r="D607" s="32">
        <v>0</v>
      </c>
      <c r="E607" s="15">
        <f>INDEX(monster!$H$2:$H$617,MATCH(skill!C607,monster!$A$2:$A$617,0))</f>
        <v>106.92</v>
      </c>
      <c r="F607" s="15">
        <f>INDEX(monster!$I$2:$I$617,MATCH(C607,monster!$A$2:$A$617,0))</f>
        <v>3.21</v>
      </c>
      <c r="G607" s="15" t="b">
        <f t="shared" ref="G607:G661" si="35">ISNUMBER(FIND("普攻",B607))</f>
        <v>1</v>
      </c>
      <c r="H607" s="31">
        <v>1</v>
      </c>
      <c r="I607" s="15">
        <f>IF(H607&gt;0,HLOOKUP(R607/100,数值规划表!$B$37:$AA$39,3),1)</f>
        <v>2.3760000000000003</v>
      </c>
      <c r="J607" s="31" t="s">
        <v>1625</v>
      </c>
      <c r="K607" s="15">
        <f>INDEX(数值规划表!$B$15:$B$18,MATCH(J607,攻击范围,0))</f>
        <v>1</v>
      </c>
      <c r="L607" s="30">
        <v>1</v>
      </c>
      <c r="M607" s="41">
        <v>0</v>
      </c>
      <c r="N607" s="15">
        <f t="shared" si="33"/>
        <v>254</v>
      </c>
      <c r="O607" s="15">
        <f t="shared" si="34"/>
        <v>7.63</v>
      </c>
      <c r="P607" s="15">
        <f>IF(G607,INDEX(monster!$J$2:$J$606,MATCH(skill!C607,monster!$A$2:$A$606,0)),Q607)</f>
        <v>1.2</v>
      </c>
      <c r="Q607" s="70"/>
      <c r="R607" s="33">
        <v>180</v>
      </c>
    </row>
    <row r="608" spans="1:18" s="38" customFormat="1" x14ac:dyDescent="0.15">
      <c r="A608" s="32">
        <v>10651</v>
      </c>
      <c r="B608" s="32" t="s">
        <v>1521</v>
      </c>
      <c r="C608" s="31">
        <v>1363</v>
      </c>
      <c r="D608" s="32">
        <v>1</v>
      </c>
      <c r="E608" s="15">
        <f>INDEX(monster!$H$2:$H$617,MATCH(skill!C608,monster!$A$2:$A$617,0))</f>
        <v>119.75</v>
      </c>
      <c r="F608" s="15">
        <f>INDEX(monster!$I$2:$I$617,MATCH(C608,monster!$A$2:$A$617,0))</f>
        <v>3.59</v>
      </c>
      <c r="G608" s="15" t="b">
        <f t="shared" si="35"/>
        <v>1</v>
      </c>
      <c r="H608" s="31">
        <v>1</v>
      </c>
      <c r="I608" s="15">
        <f>IF(H608&gt;0,HLOOKUP(R608/100,数值规划表!$B$37:$AA$39,3),1)</f>
        <v>2.3760000000000003</v>
      </c>
      <c r="J608" s="31" t="s">
        <v>1625</v>
      </c>
      <c r="K608" s="15">
        <f>INDEX(数值规划表!$B$15:$B$18,MATCH(J608,攻击范围,0))</f>
        <v>1</v>
      </c>
      <c r="L608" s="30">
        <v>1</v>
      </c>
      <c r="M608" s="41">
        <v>0</v>
      </c>
      <c r="N608" s="15">
        <f t="shared" si="33"/>
        <v>285</v>
      </c>
      <c r="O608" s="15">
        <f t="shared" si="34"/>
        <v>8.5299999999999994</v>
      </c>
      <c r="P608" s="15">
        <f>IF(G608,INDEX(monster!$J$2:$J$606,MATCH(skill!C608,monster!$A$2:$A$606,0)),Q608)</f>
        <v>1.2</v>
      </c>
      <c r="Q608" s="70"/>
      <c r="R608" s="33">
        <v>180</v>
      </c>
    </row>
    <row r="609" spans="1:18" s="38" customFormat="1" x14ac:dyDescent="0.15">
      <c r="A609" s="32">
        <v>10652</v>
      </c>
      <c r="B609" s="32" t="s">
        <v>1013</v>
      </c>
      <c r="C609" s="31">
        <v>1364</v>
      </c>
      <c r="D609" s="32">
        <v>2</v>
      </c>
      <c r="E609" s="15">
        <f>INDEX(monster!$H$2:$H$617,MATCH(skill!C609,monster!$A$2:$A$617,0))</f>
        <v>134.12</v>
      </c>
      <c r="F609" s="15">
        <f>INDEX(monster!$I$2:$I$617,MATCH(C609,monster!$A$2:$A$617,0))</f>
        <v>4.0199999999999996</v>
      </c>
      <c r="G609" s="15" t="b">
        <f t="shared" si="35"/>
        <v>1</v>
      </c>
      <c r="H609" s="31">
        <v>1</v>
      </c>
      <c r="I609" s="15">
        <f>IF(H609&gt;0,HLOOKUP(R609/100,数值规划表!$B$37:$AA$39,3),1)</f>
        <v>2.3760000000000003</v>
      </c>
      <c r="J609" s="31" t="s">
        <v>1625</v>
      </c>
      <c r="K609" s="15">
        <f>INDEX(数值规划表!$B$15:$B$18,MATCH(J609,攻击范围,0))</f>
        <v>1</v>
      </c>
      <c r="L609" s="30">
        <v>1</v>
      </c>
      <c r="M609" s="41">
        <v>0</v>
      </c>
      <c r="N609" s="15">
        <f t="shared" si="33"/>
        <v>319</v>
      </c>
      <c r="O609" s="15">
        <f t="shared" si="34"/>
        <v>9.5500000000000007</v>
      </c>
      <c r="P609" s="15">
        <f>IF(G609,INDEX(monster!$J$2:$J$606,MATCH(skill!C609,monster!$A$2:$A$606,0)),Q609)</f>
        <v>1.2</v>
      </c>
      <c r="Q609" s="70"/>
      <c r="R609" s="33">
        <v>180</v>
      </c>
    </row>
    <row r="610" spans="1:18" s="38" customFormat="1" x14ac:dyDescent="0.15">
      <c r="A610" s="32">
        <v>10653</v>
      </c>
      <c r="B610" s="32" t="s">
        <v>1014</v>
      </c>
      <c r="C610" s="31">
        <v>1365</v>
      </c>
      <c r="D610" s="32">
        <v>3</v>
      </c>
      <c r="E610" s="15">
        <f>INDEX(monster!$H$2:$H$617,MATCH(skill!C610,monster!$A$2:$A$617,0))</f>
        <v>150.21</v>
      </c>
      <c r="F610" s="15">
        <f>INDEX(monster!$I$2:$I$617,MATCH(C610,monster!$A$2:$A$617,0))</f>
        <v>4.51</v>
      </c>
      <c r="G610" s="15" t="b">
        <f t="shared" si="35"/>
        <v>1</v>
      </c>
      <c r="H610" s="31">
        <v>1</v>
      </c>
      <c r="I610" s="15">
        <f>IF(H610&gt;0,HLOOKUP(R610/100,数值规划表!$B$37:$AA$39,3),1)</f>
        <v>2.3760000000000003</v>
      </c>
      <c r="J610" s="31" t="s">
        <v>1625</v>
      </c>
      <c r="K610" s="15">
        <f>INDEX(数值规划表!$B$15:$B$18,MATCH(J610,攻击范围,0))</f>
        <v>1</v>
      </c>
      <c r="L610" s="30">
        <v>1</v>
      </c>
      <c r="M610" s="41">
        <v>0</v>
      </c>
      <c r="N610" s="15">
        <f t="shared" si="33"/>
        <v>357</v>
      </c>
      <c r="O610" s="15">
        <f t="shared" si="34"/>
        <v>10.72</v>
      </c>
      <c r="P610" s="15">
        <f>IF(G610,INDEX(monster!$J$2:$J$606,MATCH(skill!C610,monster!$A$2:$A$606,0)),Q610)</f>
        <v>1.2</v>
      </c>
      <c r="Q610" s="70"/>
      <c r="R610" s="33">
        <v>180</v>
      </c>
    </row>
    <row r="611" spans="1:18" s="38" customFormat="1" x14ac:dyDescent="0.15">
      <c r="A611" s="32">
        <v>10654</v>
      </c>
      <c r="B611" s="32" t="s">
        <v>1015</v>
      </c>
      <c r="C611" s="31">
        <v>1366</v>
      </c>
      <c r="D611" s="32">
        <v>4</v>
      </c>
      <c r="E611" s="15">
        <f>INDEX(monster!$H$2:$H$617,MATCH(skill!C611,monster!$A$2:$A$617,0))</f>
        <v>168.24</v>
      </c>
      <c r="F611" s="15">
        <f>INDEX(monster!$I$2:$I$617,MATCH(C611,monster!$A$2:$A$617,0))</f>
        <v>5.05</v>
      </c>
      <c r="G611" s="15" t="b">
        <f t="shared" si="35"/>
        <v>1</v>
      </c>
      <c r="H611" s="31">
        <v>1</v>
      </c>
      <c r="I611" s="15">
        <f>IF(H611&gt;0,HLOOKUP(R611/100,数值规划表!$B$37:$AA$39,3),1)</f>
        <v>2.3760000000000003</v>
      </c>
      <c r="J611" s="31" t="s">
        <v>1625</v>
      </c>
      <c r="K611" s="15">
        <f>INDEX(数值规划表!$B$15:$B$18,MATCH(J611,攻击范围,0))</f>
        <v>1</v>
      </c>
      <c r="L611" s="30">
        <v>1</v>
      </c>
      <c r="M611" s="41">
        <v>0</v>
      </c>
      <c r="N611" s="15">
        <f t="shared" si="33"/>
        <v>400</v>
      </c>
      <c r="O611" s="15">
        <f t="shared" si="34"/>
        <v>12</v>
      </c>
      <c r="P611" s="15">
        <f>IF(G611,INDEX(monster!$J$2:$J$606,MATCH(skill!C611,monster!$A$2:$A$606,0)),Q611)</f>
        <v>1.2</v>
      </c>
      <c r="Q611" s="70"/>
      <c r="R611" s="33">
        <v>180</v>
      </c>
    </row>
    <row r="612" spans="1:18" s="38" customFormat="1" x14ac:dyDescent="0.15">
      <c r="A612" s="32">
        <v>10655</v>
      </c>
      <c r="B612" s="32" t="s">
        <v>1016</v>
      </c>
      <c r="C612" s="31">
        <v>1367</v>
      </c>
      <c r="D612" s="32">
        <v>5</v>
      </c>
      <c r="E612" s="15">
        <f>INDEX(monster!$H$2:$H$617,MATCH(skill!C612,monster!$A$2:$A$617,0))</f>
        <v>188.43</v>
      </c>
      <c r="F612" s="15">
        <f>INDEX(monster!$I$2:$I$617,MATCH(C612,monster!$A$2:$A$617,0))</f>
        <v>5.65</v>
      </c>
      <c r="G612" s="15" t="b">
        <f t="shared" si="35"/>
        <v>1</v>
      </c>
      <c r="H612" s="31">
        <v>1</v>
      </c>
      <c r="I612" s="15">
        <f>IF(H612&gt;0,HLOOKUP(R612/100,数值规划表!$B$37:$AA$39,3),1)</f>
        <v>2.3760000000000003</v>
      </c>
      <c r="J612" s="31" t="s">
        <v>1625</v>
      </c>
      <c r="K612" s="15">
        <f>INDEX(数值规划表!$B$15:$B$18,MATCH(J612,攻击范围,0))</f>
        <v>1</v>
      </c>
      <c r="L612" s="30">
        <v>1</v>
      </c>
      <c r="M612" s="41">
        <v>0</v>
      </c>
      <c r="N612" s="15">
        <f t="shared" si="33"/>
        <v>448</v>
      </c>
      <c r="O612" s="15">
        <f t="shared" si="34"/>
        <v>13.42</v>
      </c>
      <c r="P612" s="15">
        <f>IF(G612,INDEX(monster!$J$2:$J$606,MATCH(skill!C612,monster!$A$2:$A$606,0)),Q612)</f>
        <v>1.2</v>
      </c>
      <c r="Q612" s="70"/>
      <c r="R612" s="33">
        <v>180</v>
      </c>
    </row>
    <row r="613" spans="1:18" s="38" customFormat="1" x14ac:dyDescent="0.15">
      <c r="A613" s="32">
        <v>10656</v>
      </c>
      <c r="B613" s="32" t="s">
        <v>1017</v>
      </c>
      <c r="C613" s="31">
        <v>1368</v>
      </c>
      <c r="D613" s="32">
        <v>6</v>
      </c>
      <c r="E613" s="15">
        <f>INDEX(monster!$H$2:$H$617,MATCH(skill!C613,monster!$A$2:$A$617,0))</f>
        <v>211.04</v>
      </c>
      <c r="F613" s="15">
        <f>INDEX(monster!$I$2:$I$617,MATCH(C613,monster!$A$2:$A$617,0))</f>
        <v>6.33</v>
      </c>
      <c r="G613" s="15" t="b">
        <f t="shared" si="35"/>
        <v>1</v>
      </c>
      <c r="H613" s="31">
        <v>1</v>
      </c>
      <c r="I613" s="15">
        <f>IF(H613&gt;0,HLOOKUP(R613/100,数值规划表!$B$37:$AA$39,3),1)</f>
        <v>2.3760000000000003</v>
      </c>
      <c r="J613" s="31" t="s">
        <v>1625</v>
      </c>
      <c r="K613" s="15">
        <f>INDEX(数值规划表!$B$15:$B$18,MATCH(J613,攻击范围,0))</f>
        <v>1</v>
      </c>
      <c r="L613" s="30">
        <v>1</v>
      </c>
      <c r="M613" s="41">
        <v>0</v>
      </c>
      <c r="N613" s="15">
        <f t="shared" si="33"/>
        <v>501</v>
      </c>
      <c r="O613" s="15">
        <f t="shared" si="34"/>
        <v>15.04</v>
      </c>
      <c r="P613" s="15">
        <f>IF(G613,INDEX(monster!$J$2:$J$606,MATCH(skill!C613,monster!$A$2:$A$606,0)),Q613)</f>
        <v>1.2</v>
      </c>
      <c r="Q613" s="70"/>
      <c r="R613" s="33">
        <v>180</v>
      </c>
    </row>
    <row r="614" spans="1:18" s="38" customFormat="1" x14ac:dyDescent="0.15">
      <c r="A614" s="32">
        <v>10657</v>
      </c>
      <c r="B614" s="32" t="s">
        <v>1018</v>
      </c>
      <c r="C614" s="31">
        <v>1369</v>
      </c>
      <c r="D614" s="32">
        <v>7</v>
      </c>
      <c r="E614" s="15">
        <f>INDEX(monster!$H$2:$H$617,MATCH(skill!C614,monster!$A$2:$A$617,0))</f>
        <v>236.37</v>
      </c>
      <c r="F614" s="15">
        <f>INDEX(monster!$I$2:$I$617,MATCH(C614,monster!$A$2:$A$617,0))</f>
        <v>7.09</v>
      </c>
      <c r="G614" s="15" t="b">
        <f t="shared" si="35"/>
        <v>1</v>
      </c>
      <c r="H614" s="31">
        <v>1</v>
      </c>
      <c r="I614" s="15">
        <f>IF(H614&gt;0,HLOOKUP(R614/100,数值规划表!$B$37:$AA$39,3),1)</f>
        <v>2.3760000000000003</v>
      </c>
      <c r="J614" s="31" t="s">
        <v>1625</v>
      </c>
      <c r="K614" s="15">
        <f>INDEX(数值规划表!$B$15:$B$18,MATCH(J614,攻击范围,0))</f>
        <v>1</v>
      </c>
      <c r="L614" s="30">
        <v>1</v>
      </c>
      <c r="M614" s="41">
        <v>0</v>
      </c>
      <c r="N614" s="15">
        <f t="shared" si="33"/>
        <v>562</v>
      </c>
      <c r="O614" s="15">
        <f t="shared" si="34"/>
        <v>16.850000000000001</v>
      </c>
      <c r="P614" s="15">
        <f>IF(G614,INDEX(monster!$J$2:$J$606,MATCH(skill!C614,monster!$A$2:$A$606,0)),Q614)</f>
        <v>1.2</v>
      </c>
      <c r="Q614" s="70"/>
      <c r="R614" s="33">
        <v>180</v>
      </c>
    </row>
    <row r="615" spans="1:18" s="38" customFormat="1" x14ac:dyDescent="0.15">
      <c r="A615" s="32">
        <v>10658</v>
      </c>
      <c r="B615" s="32" t="s">
        <v>1019</v>
      </c>
      <c r="C615" s="31">
        <v>1370</v>
      </c>
      <c r="D615" s="32">
        <v>8</v>
      </c>
      <c r="E615" s="15">
        <f>INDEX(monster!$H$2:$H$617,MATCH(skill!C615,monster!$A$2:$A$617,0))</f>
        <v>264.73</v>
      </c>
      <c r="F615" s="15">
        <f>INDEX(monster!$I$2:$I$617,MATCH(C615,monster!$A$2:$A$617,0))</f>
        <v>7.94</v>
      </c>
      <c r="G615" s="15" t="b">
        <f t="shared" si="35"/>
        <v>1</v>
      </c>
      <c r="H615" s="31">
        <v>1</v>
      </c>
      <c r="I615" s="15">
        <f>IF(H615&gt;0,HLOOKUP(R615/100,数值规划表!$B$37:$AA$39,3),1)</f>
        <v>2.3760000000000003</v>
      </c>
      <c r="J615" s="31" t="s">
        <v>1625</v>
      </c>
      <c r="K615" s="15">
        <f>INDEX(数值规划表!$B$15:$B$18,MATCH(J615,攻击范围,0))</f>
        <v>1</v>
      </c>
      <c r="L615" s="30">
        <v>1</v>
      </c>
      <c r="M615" s="41">
        <v>0</v>
      </c>
      <c r="N615" s="15">
        <f t="shared" si="33"/>
        <v>629</v>
      </c>
      <c r="O615" s="15">
        <f t="shared" si="34"/>
        <v>18.87</v>
      </c>
      <c r="P615" s="15">
        <f>IF(G615,INDEX(monster!$J$2:$J$606,MATCH(skill!C615,monster!$A$2:$A$606,0)),Q615)</f>
        <v>1.2</v>
      </c>
      <c r="Q615" s="70"/>
      <c r="R615" s="33">
        <v>180</v>
      </c>
    </row>
    <row r="616" spans="1:18" s="38" customFormat="1" x14ac:dyDescent="0.15">
      <c r="A616" s="32">
        <v>10659</v>
      </c>
      <c r="B616" s="32" t="s">
        <v>1020</v>
      </c>
      <c r="C616" s="31">
        <v>1371</v>
      </c>
      <c r="D616" s="32">
        <v>9</v>
      </c>
      <c r="E616" s="15">
        <f>INDEX(monster!$H$2:$H$617,MATCH(skill!C616,monster!$A$2:$A$617,0))</f>
        <v>296.5</v>
      </c>
      <c r="F616" s="15">
        <f>INDEX(monster!$I$2:$I$617,MATCH(C616,monster!$A$2:$A$617,0))</f>
        <v>8.89</v>
      </c>
      <c r="G616" s="15" t="b">
        <f t="shared" si="35"/>
        <v>1</v>
      </c>
      <c r="H616" s="31">
        <v>1</v>
      </c>
      <c r="I616" s="15">
        <f>IF(H616&gt;0,HLOOKUP(R616/100,数值规划表!$B$37:$AA$39,3),1)</f>
        <v>2.3760000000000003</v>
      </c>
      <c r="J616" s="31" t="s">
        <v>1625</v>
      </c>
      <c r="K616" s="15">
        <f>INDEX(数值规划表!$B$15:$B$18,MATCH(J616,攻击范围,0))</f>
        <v>1</v>
      </c>
      <c r="L616" s="30">
        <v>1</v>
      </c>
      <c r="M616" s="41">
        <v>0</v>
      </c>
      <c r="N616" s="15">
        <f t="shared" si="33"/>
        <v>704</v>
      </c>
      <c r="O616" s="15">
        <f t="shared" si="34"/>
        <v>21.12</v>
      </c>
      <c r="P616" s="15">
        <f>IF(G616,INDEX(monster!$J$2:$J$606,MATCH(skill!C616,monster!$A$2:$A$606,0)),Q616)</f>
        <v>1.2</v>
      </c>
      <c r="Q616" s="70"/>
      <c r="R616" s="33">
        <v>180</v>
      </c>
    </row>
    <row r="617" spans="1:18" s="38" customFormat="1" x14ac:dyDescent="0.15">
      <c r="A617" s="32">
        <v>10660</v>
      </c>
      <c r="B617" s="32" t="s">
        <v>1021</v>
      </c>
      <c r="C617" s="31">
        <v>1372</v>
      </c>
      <c r="D617" s="32">
        <v>10</v>
      </c>
      <c r="E617" s="15">
        <f>INDEX(monster!$H$2:$H$617,MATCH(skill!C617,monster!$A$2:$A$617,0))</f>
        <v>332.08</v>
      </c>
      <c r="F617" s="15">
        <f>INDEX(monster!$I$2:$I$617,MATCH(C617,monster!$A$2:$A$617,0))</f>
        <v>9.9600000000000009</v>
      </c>
      <c r="G617" s="15" t="b">
        <f t="shared" si="35"/>
        <v>1</v>
      </c>
      <c r="H617" s="31">
        <v>1</v>
      </c>
      <c r="I617" s="15">
        <f>IF(H617&gt;0,HLOOKUP(R617/100,数值规划表!$B$37:$AA$39,3),1)</f>
        <v>2.3760000000000003</v>
      </c>
      <c r="J617" s="31" t="s">
        <v>1625</v>
      </c>
      <c r="K617" s="15">
        <f>INDEX(数值规划表!$B$15:$B$18,MATCH(J617,攻击范围,0))</f>
        <v>1</v>
      </c>
      <c r="L617" s="30">
        <v>1</v>
      </c>
      <c r="M617" s="41">
        <v>0</v>
      </c>
      <c r="N617" s="15">
        <f t="shared" si="33"/>
        <v>789</v>
      </c>
      <c r="O617" s="15">
        <f t="shared" si="34"/>
        <v>23.66</v>
      </c>
      <c r="P617" s="15">
        <f>IF(G617,INDEX(monster!$J$2:$J$606,MATCH(skill!C617,monster!$A$2:$A$606,0)),Q617)</f>
        <v>1.2</v>
      </c>
      <c r="Q617" s="70"/>
      <c r="R617" s="33">
        <v>180</v>
      </c>
    </row>
    <row r="618" spans="1:18" s="38" customFormat="1" x14ac:dyDescent="0.15">
      <c r="A618" s="32">
        <v>10661</v>
      </c>
      <c r="B618" s="32" t="s">
        <v>1522</v>
      </c>
      <c r="C618" s="31">
        <v>1373</v>
      </c>
      <c r="D618" s="32">
        <v>0</v>
      </c>
      <c r="E618" s="15">
        <f>INDEX(monster!$H$2:$H$617,MATCH(skill!C618,monster!$A$2:$A$617,0))</f>
        <v>34.06</v>
      </c>
      <c r="F618" s="15">
        <f>INDEX(monster!$I$2:$I$617,MATCH(C618,monster!$A$2:$A$617,0))</f>
        <v>1.02</v>
      </c>
      <c r="G618" s="15" t="b">
        <f t="shared" si="35"/>
        <v>1</v>
      </c>
      <c r="H618" s="31">
        <v>0</v>
      </c>
      <c r="I618" s="15">
        <f>IF(H618&gt;0,HLOOKUP(R618/100,数值规划表!$B$37:$AA$39,3),1)</f>
        <v>1</v>
      </c>
      <c r="J618" s="31" t="s">
        <v>1625</v>
      </c>
      <c r="K618" s="15">
        <f>INDEX(数值规划表!$B$15:$B$18,MATCH(J618,攻击范围,0))</f>
        <v>1</v>
      </c>
      <c r="L618" s="30">
        <v>1</v>
      </c>
      <c r="M618" s="41">
        <v>0</v>
      </c>
      <c r="N618" s="15">
        <f t="shared" si="33"/>
        <v>34</v>
      </c>
      <c r="O618" s="15">
        <f t="shared" si="34"/>
        <v>1.02</v>
      </c>
      <c r="P618" s="15">
        <f>IF(G618,INDEX(monster!$J$2:$J$606,MATCH(skill!C618,monster!$A$2:$A$606,0)),Q618)</f>
        <v>1.2</v>
      </c>
      <c r="Q618" s="70"/>
      <c r="R618" s="33">
        <v>150</v>
      </c>
    </row>
    <row r="619" spans="1:18" s="38" customFormat="1" x14ac:dyDescent="0.15">
      <c r="A619" s="32">
        <v>10662</v>
      </c>
      <c r="B619" s="32" t="s">
        <v>1523</v>
      </c>
      <c r="C619" s="31">
        <v>1374</v>
      </c>
      <c r="D619" s="32">
        <v>1</v>
      </c>
      <c r="E619" s="15">
        <f>INDEX(monster!$H$2:$H$617,MATCH(skill!C619,monster!$A$2:$A$617,0))</f>
        <v>38.15</v>
      </c>
      <c r="F619" s="15">
        <f>INDEX(monster!$I$2:$I$617,MATCH(C619,monster!$A$2:$A$617,0))</f>
        <v>1.1399999999999999</v>
      </c>
      <c r="G619" s="15" t="b">
        <f t="shared" si="35"/>
        <v>1</v>
      </c>
      <c r="H619" s="31">
        <v>0</v>
      </c>
      <c r="I619" s="15">
        <f>IF(H619&gt;0,HLOOKUP(R619/100,数值规划表!$B$37:$AA$39,3),1)</f>
        <v>1</v>
      </c>
      <c r="J619" s="31" t="s">
        <v>1625</v>
      </c>
      <c r="K619" s="15">
        <f>INDEX(数值规划表!$B$15:$B$18,MATCH(J619,攻击范围,0))</f>
        <v>1</v>
      </c>
      <c r="L619" s="30">
        <v>1</v>
      </c>
      <c r="M619" s="41">
        <v>0</v>
      </c>
      <c r="N619" s="15">
        <f t="shared" si="33"/>
        <v>38</v>
      </c>
      <c r="O619" s="15">
        <f t="shared" si="34"/>
        <v>1.1399999999999999</v>
      </c>
      <c r="P619" s="15">
        <f>IF(G619,INDEX(monster!$J$2:$J$606,MATCH(skill!C619,monster!$A$2:$A$606,0)),Q619)</f>
        <v>1.2</v>
      </c>
      <c r="Q619" s="70"/>
      <c r="R619" s="33">
        <v>150</v>
      </c>
    </row>
    <row r="620" spans="1:18" s="38" customFormat="1" x14ac:dyDescent="0.15">
      <c r="A620" s="32">
        <v>10663</v>
      </c>
      <c r="B620" s="32" t="s">
        <v>1022</v>
      </c>
      <c r="C620" s="31">
        <v>1375</v>
      </c>
      <c r="D620" s="32">
        <v>2</v>
      </c>
      <c r="E620" s="15">
        <f>INDEX(monster!$H$2:$H$617,MATCH(skill!C620,monster!$A$2:$A$617,0))</f>
        <v>42.72</v>
      </c>
      <c r="F620" s="15">
        <f>INDEX(monster!$I$2:$I$617,MATCH(C620,monster!$A$2:$A$617,0))</f>
        <v>1.28</v>
      </c>
      <c r="G620" s="15" t="b">
        <f t="shared" si="35"/>
        <v>1</v>
      </c>
      <c r="H620" s="31">
        <v>0</v>
      </c>
      <c r="I620" s="15">
        <f>IF(H620&gt;0,HLOOKUP(R620/100,数值规划表!$B$37:$AA$39,3),1)</f>
        <v>1</v>
      </c>
      <c r="J620" s="31" t="s">
        <v>1625</v>
      </c>
      <c r="K620" s="15">
        <f>INDEX(数值规划表!$B$15:$B$18,MATCH(J620,攻击范围,0))</f>
        <v>1</v>
      </c>
      <c r="L620" s="30">
        <v>1</v>
      </c>
      <c r="M620" s="41">
        <v>0</v>
      </c>
      <c r="N620" s="15">
        <f t="shared" si="33"/>
        <v>43</v>
      </c>
      <c r="O620" s="15">
        <f t="shared" si="34"/>
        <v>1.28</v>
      </c>
      <c r="P620" s="15">
        <f>IF(G620,INDEX(monster!$J$2:$J$606,MATCH(skill!C620,monster!$A$2:$A$606,0)),Q620)</f>
        <v>1.2</v>
      </c>
      <c r="Q620" s="70"/>
      <c r="R620" s="33">
        <v>150</v>
      </c>
    </row>
    <row r="621" spans="1:18" s="38" customFormat="1" x14ac:dyDescent="0.15">
      <c r="A621" s="32">
        <v>10664</v>
      </c>
      <c r="B621" s="32" t="s">
        <v>1023</v>
      </c>
      <c r="C621" s="31">
        <v>1376</v>
      </c>
      <c r="D621" s="32">
        <v>3</v>
      </c>
      <c r="E621" s="15">
        <f>INDEX(monster!$H$2:$H$617,MATCH(skill!C621,monster!$A$2:$A$617,0))</f>
        <v>47.85</v>
      </c>
      <c r="F621" s="15">
        <f>INDEX(monster!$I$2:$I$617,MATCH(C621,monster!$A$2:$A$617,0))</f>
        <v>1.44</v>
      </c>
      <c r="G621" s="15" t="b">
        <f t="shared" si="35"/>
        <v>1</v>
      </c>
      <c r="H621" s="31">
        <v>0</v>
      </c>
      <c r="I621" s="15">
        <f>IF(H621&gt;0,HLOOKUP(R621/100,数值规划表!$B$37:$AA$39,3),1)</f>
        <v>1</v>
      </c>
      <c r="J621" s="31" t="s">
        <v>1625</v>
      </c>
      <c r="K621" s="15">
        <f>INDEX(数值规划表!$B$15:$B$18,MATCH(J621,攻击范围,0))</f>
        <v>1</v>
      </c>
      <c r="L621" s="30">
        <v>1</v>
      </c>
      <c r="M621" s="41">
        <v>0</v>
      </c>
      <c r="N621" s="15">
        <f t="shared" si="33"/>
        <v>48</v>
      </c>
      <c r="O621" s="15">
        <f t="shared" si="34"/>
        <v>1.44</v>
      </c>
      <c r="P621" s="15">
        <f>IF(G621,INDEX(monster!$J$2:$J$606,MATCH(skill!C621,monster!$A$2:$A$606,0)),Q621)</f>
        <v>1.2</v>
      </c>
      <c r="Q621" s="70"/>
      <c r="R621" s="33">
        <v>150</v>
      </c>
    </row>
    <row r="622" spans="1:18" s="38" customFormat="1" x14ac:dyDescent="0.15">
      <c r="A622" s="32">
        <v>10665</v>
      </c>
      <c r="B622" s="32" t="s">
        <v>1024</v>
      </c>
      <c r="C622" s="31">
        <v>1377</v>
      </c>
      <c r="D622" s="32">
        <v>4</v>
      </c>
      <c r="E622" s="15">
        <f>INDEX(monster!$H$2:$H$617,MATCH(skill!C622,monster!$A$2:$A$617,0))</f>
        <v>53.59</v>
      </c>
      <c r="F622" s="15">
        <f>INDEX(monster!$I$2:$I$617,MATCH(C622,monster!$A$2:$A$617,0))</f>
        <v>1.61</v>
      </c>
      <c r="G622" s="15" t="b">
        <f t="shared" si="35"/>
        <v>1</v>
      </c>
      <c r="H622" s="31">
        <v>0</v>
      </c>
      <c r="I622" s="15">
        <f>IF(H622&gt;0,HLOOKUP(R622/100,数值规划表!$B$37:$AA$39,3),1)</f>
        <v>1</v>
      </c>
      <c r="J622" s="31" t="s">
        <v>1625</v>
      </c>
      <c r="K622" s="15">
        <f>INDEX(数值规划表!$B$15:$B$18,MATCH(J622,攻击范围,0))</f>
        <v>1</v>
      </c>
      <c r="L622" s="30">
        <v>1</v>
      </c>
      <c r="M622" s="41">
        <v>0</v>
      </c>
      <c r="N622" s="15">
        <f t="shared" si="33"/>
        <v>54</v>
      </c>
      <c r="O622" s="15">
        <f t="shared" si="34"/>
        <v>1.61</v>
      </c>
      <c r="P622" s="15">
        <f>IF(G622,INDEX(monster!$J$2:$J$606,MATCH(skill!C622,monster!$A$2:$A$606,0)),Q622)</f>
        <v>1.2</v>
      </c>
      <c r="Q622" s="70"/>
      <c r="R622" s="33">
        <v>150</v>
      </c>
    </row>
    <row r="623" spans="1:18" s="38" customFormat="1" x14ac:dyDescent="0.15">
      <c r="A623" s="32">
        <v>10666</v>
      </c>
      <c r="B623" s="32" t="s">
        <v>1025</v>
      </c>
      <c r="C623" s="31">
        <v>1378</v>
      </c>
      <c r="D623" s="32">
        <v>5</v>
      </c>
      <c r="E623" s="15">
        <f>INDEX(monster!$H$2:$H$617,MATCH(skill!C623,monster!$A$2:$A$617,0))</f>
        <v>60.03</v>
      </c>
      <c r="F623" s="15">
        <f>INDEX(monster!$I$2:$I$617,MATCH(C623,monster!$A$2:$A$617,0))</f>
        <v>1.8</v>
      </c>
      <c r="G623" s="15" t="b">
        <f t="shared" si="35"/>
        <v>1</v>
      </c>
      <c r="H623" s="31">
        <v>0</v>
      </c>
      <c r="I623" s="15">
        <f>IF(H623&gt;0,HLOOKUP(R623/100,数值规划表!$B$37:$AA$39,3),1)</f>
        <v>1</v>
      </c>
      <c r="J623" s="31" t="s">
        <v>1625</v>
      </c>
      <c r="K623" s="15">
        <f>INDEX(数值规划表!$B$15:$B$18,MATCH(J623,攻击范围,0))</f>
        <v>1</v>
      </c>
      <c r="L623" s="30">
        <v>1</v>
      </c>
      <c r="M623" s="41">
        <v>0</v>
      </c>
      <c r="N623" s="15">
        <f t="shared" si="33"/>
        <v>60</v>
      </c>
      <c r="O623" s="15">
        <f t="shared" si="34"/>
        <v>1.8</v>
      </c>
      <c r="P623" s="15">
        <f>IF(G623,INDEX(monster!$J$2:$J$606,MATCH(skill!C623,monster!$A$2:$A$606,0)),Q623)</f>
        <v>1.2</v>
      </c>
      <c r="Q623" s="70"/>
      <c r="R623" s="33">
        <v>150</v>
      </c>
    </row>
    <row r="624" spans="1:18" s="38" customFormat="1" x14ac:dyDescent="0.15">
      <c r="A624" s="32">
        <v>10667</v>
      </c>
      <c r="B624" s="32" t="s">
        <v>1026</v>
      </c>
      <c r="C624" s="31">
        <v>1379</v>
      </c>
      <c r="D624" s="32">
        <v>6</v>
      </c>
      <c r="E624" s="15">
        <f>INDEX(monster!$H$2:$H$617,MATCH(skill!C624,monster!$A$2:$A$617,0))</f>
        <v>67.23</v>
      </c>
      <c r="F624" s="15">
        <f>INDEX(monster!$I$2:$I$617,MATCH(C624,monster!$A$2:$A$617,0))</f>
        <v>2.02</v>
      </c>
      <c r="G624" s="15" t="b">
        <f t="shared" si="35"/>
        <v>1</v>
      </c>
      <c r="H624" s="31">
        <v>0</v>
      </c>
      <c r="I624" s="15">
        <f>IF(H624&gt;0,HLOOKUP(R624/100,数值规划表!$B$37:$AA$39,3),1)</f>
        <v>1</v>
      </c>
      <c r="J624" s="31" t="s">
        <v>1625</v>
      </c>
      <c r="K624" s="15">
        <f>INDEX(数值规划表!$B$15:$B$18,MATCH(J624,攻击范围,0))</f>
        <v>1</v>
      </c>
      <c r="L624" s="30">
        <v>1</v>
      </c>
      <c r="M624" s="41">
        <v>0</v>
      </c>
      <c r="N624" s="15">
        <f t="shared" si="33"/>
        <v>67</v>
      </c>
      <c r="O624" s="15">
        <f t="shared" si="34"/>
        <v>2.02</v>
      </c>
      <c r="P624" s="15">
        <f>IF(G624,INDEX(monster!$J$2:$J$606,MATCH(skill!C624,monster!$A$2:$A$606,0)),Q624)</f>
        <v>1.2</v>
      </c>
      <c r="Q624" s="70"/>
      <c r="R624" s="33">
        <v>150</v>
      </c>
    </row>
    <row r="625" spans="1:18" s="38" customFormat="1" x14ac:dyDescent="0.15">
      <c r="A625" s="32">
        <v>10668</v>
      </c>
      <c r="B625" s="32" t="s">
        <v>1027</v>
      </c>
      <c r="C625" s="31">
        <v>1380</v>
      </c>
      <c r="D625" s="32">
        <v>7</v>
      </c>
      <c r="E625" s="15">
        <f>INDEX(monster!$H$2:$H$617,MATCH(skill!C625,monster!$A$2:$A$617,0))</f>
        <v>75.3</v>
      </c>
      <c r="F625" s="15">
        <f>INDEX(monster!$I$2:$I$617,MATCH(C625,monster!$A$2:$A$617,0))</f>
        <v>2.2599999999999998</v>
      </c>
      <c r="G625" s="15" t="b">
        <f t="shared" si="35"/>
        <v>1</v>
      </c>
      <c r="H625" s="31">
        <v>0</v>
      </c>
      <c r="I625" s="15">
        <f>IF(H625&gt;0,HLOOKUP(R625/100,数值规划表!$B$37:$AA$39,3),1)</f>
        <v>1</v>
      </c>
      <c r="J625" s="31" t="s">
        <v>1625</v>
      </c>
      <c r="K625" s="15">
        <f>INDEX(数值规划表!$B$15:$B$18,MATCH(J625,攻击范围,0))</f>
        <v>1</v>
      </c>
      <c r="L625" s="30">
        <v>1</v>
      </c>
      <c r="M625" s="41">
        <v>0</v>
      </c>
      <c r="N625" s="15">
        <f t="shared" si="33"/>
        <v>75</v>
      </c>
      <c r="O625" s="15">
        <f t="shared" si="34"/>
        <v>2.2599999999999998</v>
      </c>
      <c r="P625" s="15">
        <f>IF(G625,INDEX(monster!$J$2:$J$606,MATCH(skill!C625,monster!$A$2:$A$606,0)),Q625)</f>
        <v>1.2</v>
      </c>
      <c r="Q625" s="70"/>
      <c r="R625" s="33">
        <v>150</v>
      </c>
    </row>
    <row r="626" spans="1:18" s="38" customFormat="1" x14ac:dyDescent="0.15">
      <c r="A626" s="32">
        <v>10669</v>
      </c>
      <c r="B626" s="32" t="s">
        <v>1028</v>
      </c>
      <c r="C626" s="31">
        <v>1381</v>
      </c>
      <c r="D626" s="32">
        <v>8</v>
      </c>
      <c r="E626" s="15">
        <f>INDEX(monster!$H$2:$H$617,MATCH(skill!C626,monster!$A$2:$A$617,0))</f>
        <v>84.33</v>
      </c>
      <c r="F626" s="15">
        <f>INDEX(monster!$I$2:$I$617,MATCH(C626,monster!$A$2:$A$617,0))</f>
        <v>2.5299999999999998</v>
      </c>
      <c r="G626" s="15" t="b">
        <f t="shared" si="35"/>
        <v>1</v>
      </c>
      <c r="H626" s="31">
        <v>0</v>
      </c>
      <c r="I626" s="15">
        <f>IF(H626&gt;0,HLOOKUP(R626/100,数值规划表!$B$37:$AA$39,3),1)</f>
        <v>1</v>
      </c>
      <c r="J626" s="31" t="s">
        <v>1625</v>
      </c>
      <c r="K626" s="15">
        <f>INDEX(数值规划表!$B$15:$B$18,MATCH(J626,攻击范围,0))</f>
        <v>1</v>
      </c>
      <c r="L626" s="30">
        <v>1</v>
      </c>
      <c r="M626" s="41">
        <v>0</v>
      </c>
      <c r="N626" s="15">
        <f t="shared" si="33"/>
        <v>84</v>
      </c>
      <c r="O626" s="15">
        <f t="shared" si="34"/>
        <v>2.5299999999999998</v>
      </c>
      <c r="P626" s="15">
        <f>IF(G626,INDEX(monster!$J$2:$J$606,MATCH(skill!C626,monster!$A$2:$A$606,0)),Q626)</f>
        <v>1.2</v>
      </c>
      <c r="Q626" s="70"/>
      <c r="R626" s="33">
        <v>150</v>
      </c>
    </row>
    <row r="627" spans="1:18" s="38" customFormat="1" x14ac:dyDescent="0.15">
      <c r="A627" s="32">
        <v>10670</v>
      </c>
      <c r="B627" s="32" t="s">
        <v>1029</v>
      </c>
      <c r="C627" s="31">
        <v>1382</v>
      </c>
      <c r="D627" s="32">
        <v>9</v>
      </c>
      <c r="E627" s="15">
        <f>INDEX(monster!$H$2:$H$617,MATCH(skill!C627,monster!$A$2:$A$617,0))</f>
        <v>94.45</v>
      </c>
      <c r="F627" s="15">
        <f>INDEX(monster!$I$2:$I$617,MATCH(C627,monster!$A$2:$A$617,0))</f>
        <v>2.83</v>
      </c>
      <c r="G627" s="15" t="b">
        <f t="shared" si="35"/>
        <v>1</v>
      </c>
      <c r="H627" s="31">
        <v>0</v>
      </c>
      <c r="I627" s="15">
        <f>IF(H627&gt;0,HLOOKUP(R627/100,数值规划表!$B$37:$AA$39,3),1)</f>
        <v>1</v>
      </c>
      <c r="J627" s="31" t="s">
        <v>1625</v>
      </c>
      <c r="K627" s="15">
        <f>INDEX(数值规划表!$B$15:$B$18,MATCH(J627,攻击范围,0))</f>
        <v>1</v>
      </c>
      <c r="L627" s="30">
        <v>1</v>
      </c>
      <c r="M627" s="41">
        <v>0</v>
      </c>
      <c r="N627" s="15">
        <f t="shared" si="33"/>
        <v>94</v>
      </c>
      <c r="O627" s="15">
        <f t="shared" si="34"/>
        <v>2.83</v>
      </c>
      <c r="P627" s="15">
        <f>IF(G627,INDEX(monster!$J$2:$J$606,MATCH(skill!C627,monster!$A$2:$A$606,0)),Q627)</f>
        <v>1.2</v>
      </c>
      <c r="Q627" s="70"/>
      <c r="R627" s="33">
        <v>150</v>
      </c>
    </row>
    <row r="628" spans="1:18" s="38" customFormat="1" x14ac:dyDescent="0.15">
      <c r="A628" s="32">
        <v>10671</v>
      </c>
      <c r="B628" s="32" t="s">
        <v>1030</v>
      </c>
      <c r="C628" s="31">
        <v>1383</v>
      </c>
      <c r="D628" s="32">
        <v>10</v>
      </c>
      <c r="E628" s="15">
        <f>INDEX(monster!$H$2:$H$617,MATCH(skill!C628,monster!$A$2:$A$617,0))</f>
        <v>105.79</v>
      </c>
      <c r="F628" s="15">
        <f>INDEX(monster!$I$2:$I$617,MATCH(C628,monster!$A$2:$A$617,0))</f>
        <v>3.17</v>
      </c>
      <c r="G628" s="15" t="b">
        <f t="shared" si="35"/>
        <v>1</v>
      </c>
      <c r="H628" s="31">
        <v>0</v>
      </c>
      <c r="I628" s="15">
        <f>IF(H628&gt;0,HLOOKUP(R628/100,数值规划表!$B$37:$AA$39,3),1)</f>
        <v>1</v>
      </c>
      <c r="J628" s="31" t="s">
        <v>1625</v>
      </c>
      <c r="K628" s="15">
        <f>INDEX(数值规划表!$B$15:$B$18,MATCH(J628,攻击范围,0))</f>
        <v>1</v>
      </c>
      <c r="L628" s="30">
        <v>1</v>
      </c>
      <c r="M628" s="41">
        <v>0</v>
      </c>
      <c r="N628" s="15">
        <f t="shared" si="33"/>
        <v>106</v>
      </c>
      <c r="O628" s="15">
        <f t="shared" si="34"/>
        <v>3.17</v>
      </c>
      <c r="P628" s="15">
        <f>IF(G628,INDEX(monster!$J$2:$J$606,MATCH(skill!C628,monster!$A$2:$A$606,0)),Q628)</f>
        <v>1.2</v>
      </c>
      <c r="Q628" s="70"/>
      <c r="R628" s="33">
        <v>150</v>
      </c>
    </row>
    <row r="629" spans="1:18" s="38" customFormat="1" x14ac:dyDescent="0.15">
      <c r="A629" s="32">
        <v>10672</v>
      </c>
      <c r="B629" s="32" t="s">
        <v>1524</v>
      </c>
      <c r="C629" s="31">
        <v>1384</v>
      </c>
      <c r="D629" s="32">
        <v>0</v>
      </c>
      <c r="E629" s="15">
        <f>INDEX(monster!$H$2:$H$617,MATCH(skill!C629,monster!$A$2:$A$617,0))</f>
        <v>38.9</v>
      </c>
      <c r="F629" s="15">
        <f>INDEX(monster!$I$2:$I$617,MATCH(C629,monster!$A$2:$A$617,0))</f>
        <v>1.17</v>
      </c>
      <c r="G629" s="15" t="b">
        <f t="shared" si="35"/>
        <v>1</v>
      </c>
      <c r="H629" s="31">
        <v>1</v>
      </c>
      <c r="I629" s="15">
        <f>IF(H629&gt;0,HLOOKUP(R629/100,数值规划表!$B$37:$AA$39,3),1)</f>
        <v>1.7999999999999998</v>
      </c>
      <c r="J629" s="31" t="s">
        <v>1625</v>
      </c>
      <c r="K629" s="15">
        <f>INDEX(数值规划表!$B$15:$B$18,MATCH(J629,攻击范围,0))</f>
        <v>1</v>
      </c>
      <c r="L629" s="30">
        <v>0.85</v>
      </c>
      <c r="M629" s="41">
        <v>0</v>
      </c>
      <c r="N629" s="15">
        <f t="shared" si="33"/>
        <v>60</v>
      </c>
      <c r="O629" s="15">
        <f t="shared" si="34"/>
        <v>1.79</v>
      </c>
      <c r="P629" s="15">
        <f>IF(G629,INDEX(monster!$J$2:$J$606,MATCH(skill!C629,monster!$A$2:$A$606,0)),Q629)</f>
        <v>5</v>
      </c>
      <c r="Q629" s="70"/>
      <c r="R629" s="33">
        <v>150</v>
      </c>
    </row>
    <row r="630" spans="1:18" s="38" customFormat="1" x14ac:dyDescent="0.15">
      <c r="A630" s="32">
        <v>10673</v>
      </c>
      <c r="B630" s="32" t="s">
        <v>1525</v>
      </c>
      <c r="C630" s="31">
        <v>1385</v>
      </c>
      <c r="D630" s="32">
        <v>1</v>
      </c>
      <c r="E630" s="15">
        <f>INDEX(monster!$H$2:$H$617,MATCH(skill!C630,monster!$A$2:$A$617,0))</f>
        <v>43.57</v>
      </c>
      <c r="F630" s="15">
        <f>INDEX(monster!$I$2:$I$617,MATCH(C630,monster!$A$2:$A$617,0))</f>
        <v>1.31</v>
      </c>
      <c r="G630" s="15" t="b">
        <f t="shared" si="35"/>
        <v>1</v>
      </c>
      <c r="H630" s="31">
        <v>1</v>
      </c>
      <c r="I630" s="15">
        <f>IF(H630&gt;0,HLOOKUP(R630/100,数值规划表!$B$37:$AA$39,3),1)</f>
        <v>1.7999999999999998</v>
      </c>
      <c r="J630" s="31" t="s">
        <v>1625</v>
      </c>
      <c r="K630" s="15">
        <f>INDEX(数值规划表!$B$15:$B$18,MATCH(J630,攻击范围,0))</f>
        <v>1</v>
      </c>
      <c r="L630" s="70">
        <v>0.85</v>
      </c>
      <c r="M630" s="41">
        <v>0</v>
      </c>
      <c r="N630" s="15">
        <f t="shared" si="33"/>
        <v>67</v>
      </c>
      <c r="O630" s="15">
        <f t="shared" si="34"/>
        <v>2</v>
      </c>
      <c r="P630" s="15">
        <f>IF(G630,INDEX(monster!$J$2:$J$606,MATCH(skill!C630,monster!$A$2:$A$606,0)),Q630)</f>
        <v>5</v>
      </c>
      <c r="Q630" s="70"/>
      <c r="R630" s="33">
        <v>150</v>
      </c>
    </row>
    <row r="631" spans="1:18" s="38" customFormat="1" x14ac:dyDescent="0.15">
      <c r="A631" s="32">
        <v>10674</v>
      </c>
      <c r="B631" s="32" t="s">
        <v>1031</v>
      </c>
      <c r="C631" s="31">
        <v>1386</v>
      </c>
      <c r="D631" s="32">
        <v>2</v>
      </c>
      <c r="E631" s="15">
        <f>INDEX(monster!$H$2:$H$617,MATCH(skill!C631,monster!$A$2:$A$617,0))</f>
        <v>48.8</v>
      </c>
      <c r="F631" s="15">
        <f>INDEX(monster!$I$2:$I$617,MATCH(C631,monster!$A$2:$A$617,0))</f>
        <v>1.46</v>
      </c>
      <c r="G631" s="15" t="b">
        <f t="shared" si="35"/>
        <v>1</v>
      </c>
      <c r="H631" s="31">
        <v>1</v>
      </c>
      <c r="I631" s="15">
        <f>IF(H631&gt;0,HLOOKUP(R631/100,数值规划表!$B$37:$AA$39,3),1)</f>
        <v>1.7999999999999998</v>
      </c>
      <c r="J631" s="31" t="s">
        <v>1625</v>
      </c>
      <c r="K631" s="15">
        <f>INDEX(数值规划表!$B$15:$B$18,MATCH(J631,攻击范围,0))</f>
        <v>1</v>
      </c>
      <c r="L631" s="70">
        <v>0.85</v>
      </c>
      <c r="M631" s="41">
        <v>0</v>
      </c>
      <c r="N631" s="15">
        <f t="shared" ref="N631:N694" si="36">ROUND(E631*I631*K631*L631,0)</f>
        <v>75</v>
      </c>
      <c r="O631" s="15">
        <f t="shared" ref="O631:O694" si="37">ROUND(F631*I631*K631*L631,2)</f>
        <v>2.23</v>
      </c>
      <c r="P631" s="15">
        <f>IF(G631,INDEX(monster!$J$2:$J$606,MATCH(skill!C631,monster!$A$2:$A$606,0)),Q631)</f>
        <v>5</v>
      </c>
      <c r="Q631" s="70"/>
      <c r="R631" s="33">
        <v>150</v>
      </c>
    </row>
    <row r="632" spans="1:18" s="38" customFormat="1" x14ac:dyDescent="0.15">
      <c r="A632" s="32">
        <v>10675</v>
      </c>
      <c r="B632" s="32" t="s">
        <v>1032</v>
      </c>
      <c r="C632" s="31">
        <v>1387</v>
      </c>
      <c r="D632" s="32">
        <v>3</v>
      </c>
      <c r="E632" s="15">
        <f>INDEX(monster!$H$2:$H$617,MATCH(skill!C632,monster!$A$2:$A$617,0))</f>
        <v>54.65</v>
      </c>
      <c r="F632" s="15">
        <f>INDEX(monster!$I$2:$I$617,MATCH(C632,monster!$A$2:$A$617,0))</f>
        <v>1.64</v>
      </c>
      <c r="G632" s="15" t="b">
        <f t="shared" si="35"/>
        <v>1</v>
      </c>
      <c r="H632" s="31">
        <v>1</v>
      </c>
      <c r="I632" s="15">
        <f>IF(H632&gt;0,HLOOKUP(R632/100,数值规划表!$B$37:$AA$39,3),1)</f>
        <v>1.7999999999999998</v>
      </c>
      <c r="J632" s="31" t="s">
        <v>1625</v>
      </c>
      <c r="K632" s="15">
        <f>INDEX(数值规划表!$B$15:$B$18,MATCH(J632,攻击范围,0))</f>
        <v>1</v>
      </c>
      <c r="L632" s="70">
        <v>0.85</v>
      </c>
      <c r="M632" s="41">
        <v>0</v>
      </c>
      <c r="N632" s="15">
        <f t="shared" si="36"/>
        <v>84</v>
      </c>
      <c r="O632" s="15">
        <f t="shared" si="37"/>
        <v>2.5099999999999998</v>
      </c>
      <c r="P632" s="15">
        <f>IF(G632,INDEX(monster!$J$2:$J$606,MATCH(skill!C632,monster!$A$2:$A$606,0)),Q632)</f>
        <v>5</v>
      </c>
      <c r="Q632" s="70"/>
      <c r="R632" s="33">
        <v>150</v>
      </c>
    </row>
    <row r="633" spans="1:18" s="38" customFormat="1" x14ac:dyDescent="0.15">
      <c r="A633" s="32">
        <v>10676</v>
      </c>
      <c r="B633" s="32" t="s">
        <v>1033</v>
      </c>
      <c r="C633" s="31">
        <v>1388</v>
      </c>
      <c r="D633" s="32">
        <v>4</v>
      </c>
      <c r="E633" s="15">
        <f>INDEX(monster!$H$2:$H$617,MATCH(skill!C633,monster!$A$2:$A$617,0))</f>
        <v>61.21</v>
      </c>
      <c r="F633" s="15">
        <f>INDEX(monster!$I$2:$I$617,MATCH(C633,monster!$A$2:$A$617,0))</f>
        <v>1.84</v>
      </c>
      <c r="G633" s="15" t="b">
        <f t="shared" si="35"/>
        <v>1</v>
      </c>
      <c r="H633" s="31">
        <v>1</v>
      </c>
      <c r="I633" s="15">
        <f>IF(H633&gt;0,HLOOKUP(R633/100,数值规划表!$B$37:$AA$39,3),1)</f>
        <v>1.7999999999999998</v>
      </c>
      <c r="J633" s="31" t="s">
        <v>1625</v>
      </c>
      <c r="K633" s="15">
        <f>INDEX(数值规划表!$B$15:$B$18,MATCH(J633,攻击范围,0))</f>
        <v>1</v>
      </c>
      <c r="L633" s="70">
        <v>0.85</v>
      </c>
      <c r="M633" s="41">
        <v>0</v>
      </c>
      <c r="N633" s="15">
        <f t="shared" si="36"/>
        <v>94</v>
      </c>
      <c r="O633" s="15">
        <f t="shared" si="37"/>
        <v>2.82</v>
      </c>
      <c r="P633" s="15">
        <f>IF(G633,INDEX(monster!$J$2:$J$606,MATCH(skill!C633,monster!$A$2:$A$606,0)),Q633)</f>
        <v>5</v>
      </c>
      <c r="Q633" s="70"/>
      <c r="R633" s="33">
        <v>150</v>
      </c>
    </row>
    <row r="634" spans="1:18" s="38" customFormat="1" x14ac:dyDescent="0.15">
      <c r="A634" s="32">
        <v>10677</v>
      </c>
      <c r="B634" s="32" t="s">
        <v>1034</v>
      </c>
      <c r="C634" s="31">
        <v>1389</v>
      </c>
      <c r="D634" s="32">
        <v>5</v>
      </c>
      <c r="E634" s="15">
        <f>INDEX(monster!$H$2:$H$617,MATCH(skill!C634,monster!$A$2:$A$617,0))</f>
        <v>68.56</v>
      </c>
      <c r="F634" s="15">
        <f>INDEX(monster!$I$2:$I$617,MATCH(C634,monster!$A$2:$A$617,0))</f>
        <v>2.06</v>
      </c>
      <c r="G634" s="15" t="b">
        <f t="shared" si="35"/>
        <v>1</v>
      </c>
      <c r="H634" s="31">
        <v>1</v>
      </c>
      <c r="I634" s="15">
        <f>IF(H634&gt;0,HLOOKUP(R634/100,数值规划表!$B$37:$AA$39,3),1)</f>
        <v>1.7999999999999998</v>
      </c>
      <c r="J634" s="31" t="s">
        <v>1625</v>
      </c>
      <c r="K634" s="15">
        <f>INDEX(数值规划表!$B$15:$B$18,MATCH(J634,攻击范围,0))</f>
        <v>1</v>
      </c>
      <c r="L634" s="70">
        <v>0.85</v>
      </c>
      <c r="M634" s="41">
        <v>0</v>
      </c>
      <c r="N634" s="15">
        <f t="shared" si="36"/>
        <v>105</v>
      </c>
      <c r="O634" s="15">
        <f t="shared" si="37"/>
        <v>3.15</v>
      </c>
      <c r="P634" s="15">
        <f>IF(G634,INDEX(monster!$J$2:$J$606,MATCH(skill!C634,monster!$A$2:$A$606,0)),Q634)</f>
        <v>5</v>
      </c>
      <c r="Q634" s="70"/>
      <c r="R634" s="33">
        <v>150</v>
      </c>
    </row>
    <row r="635" spans="1:18" s="38" customFormat="1" x14ac:dyDescent="0.15">
      <c r="A635" s="32">
        <v>10678</v>
      </c>
      <c r="B635" s="32" t="s">
        <v>1035</v>
      </c>
      <c r="C635" s="31">
        <v>1390</v>
      </c>
      <c r="D635" s="32">
        <v>6</v>
      </c>
      <c r="E635" s="15">
        <f>INDEX(monster!$H$2:$H$617,MATCH(skill!C635,monster!$A$2:$A$617,0))</f>
        <v>76.78</v>
      </c>
      <c r="F635" s="15">
        <f>INDEX(monster!$I$2:$I$617,MATCH(C635,monster!$A$2:$A$617,0))</f>
        <v>2.2999999999999998</v>
      </c>
      <c r="G635" s="15" t="b">
        <f t="shared" si="35"/>
        <v>1</v>
      </c>
      <c r="H635" s="31">
        <v>1</v>
      </c>
      <c r="I635" s="15">
        <f>IF(H635&gt;0,HLOOKUP(R635/100,数值规划表!$B$37:$AA$39,3),1)</f>
        <v>1.7999999999999998</v>
      </c>
      <c r="J635" s="31" t="s">
        <v>1625</v>
      </c>
      <c r="K635" s="15">
        <f>INDEX(数值规划表!$B$15:$B$18,MATCH(J635,攻击范围,0))</f>
        <v>1</v>
      </c>
      <c r="L635" s="70">
        <v>0.85</v>
      </c>
      <c r="M635" s="41">
        <v>0</v>
      </c>
      <c r="N635" s="15">
        <f t="shared" si="36"/>
        <v>117</v>
      </c>
      <c r="O635" s="15">
        <f t="shared" si="37"/>
        <v>3.52</v>
      </c>
      <c r="P635" s="15">
        <f>IF(G635,INDEX(monster!$J$2:$J$606,MATCH(skill!C635,monster!$A$2:$A$606,0)),Q635)</f>
        <v>5</v>
      </c>
      <c r="Q635" s="70"/>
      <c r="R635" s="33">
        <v>150</v>
      </c>
    </row>
    <row r="636" spans="1:18" s="38" customFormat="1" x14ac:dyDescent="0.15">
      <c r="A636" s="32">
        <v>10679</v>
      </c>
      <c r="B636" s="32" t="s">
        <v>1036</v>
      </c>
      <c r="C636" s="31">
        <v>1391</v>
      </c>
      <c r="D636" s="32">
        <v>7</v>
      </c>
      <c r="E636" s="15">
        <f>INDEX(monster!$H$2:$H$617,MATCH(skill!C636,monster!$A$2:$A$617,0))</f>
        <v>86</v>
      </c>
      <c r="F636" s="15">
        <f>INDEX(monster!$I$2:$I$617,MATCH(C636,monster!$A$2:$A$617,0))</f>
        <v>2.58</v>
      </c>
      <c r="G636" s="15" t="b">
        <f t="shared" si="35"/>
        <v>1</v>
      </c>
      <c r="H636" s="31">
        <v>1</v>
      </c>
      <c r="I636" s="15">
        <f>IF(H636&gt;0,HLOOKUP(R636/100,数值规划表!$B$37:$AA$39,3),1)</f>
        <v>1.7999999999999998</v>
      </c>
      <c r="J636" s="31" t="s">
        <v>1625</v>
      </c>
      <c r="K636" s="15">
        <f>INDEX(数值规划表!$B$15:$B$18,MATCH(J636,攻击范围,0))</f>
        <v>1</v>
      </c>
      <c r="L636" s="70">
        <v>0.85</v>
      </c>
      <c r="M636" s="41">
        <v>0</v>
      </c>
      <c r="N636" s="15">
        <f t="shared" si="36"/>
        <v>132</v>
      </c>
      <c r="O636" s="15">
        <f t="shared" si="37"/>
        <v>3.95</v>
      </c>
      <c r="P636" s="15">
        <f>IF(G636,INDEX(monster!$J$2:$J$606,MATCH(skill!C636,monster!$A$2:$A$606,0)),Q636)</f>
        <v>5</v>
      </c>
      <c r="Q636" s="70"/>
      <c r="R636" s="33">
        <v>150</v>
      </c>
    </row>
    <row r="637" spans="1:18" s="38" customFormat="1" x14ac:dyDescent="0.15">
      <c r="A637" s="32">
        <v>10680</v>
      </c>
      <c r="B637" s="32" t="s">
        <v>1037</v>
      </c>
      <c r="C637" s="31">
        <v>1392</v>
      </c>
      <c r="D637" s="32">
        <v>8</v>
      </c>
      <c r="E637" s="15">
        <f>INDEX(monster!$H$2:$H$617,MATCH(skill!C637,monster!$A$2:$A$617,0))</f>
        <v>96.31</v>
      </c>
      <c r="F637" s="15">
        <f>INDEX(monster!$I$2:$I$617,MATCH(C637,monster!$A$2:$A$617,0))</f>
        <v>2.89</v>
      </c>
      <c r="G637" s="15" t="b">
        <f t="shared" si="35"/>
        <v>1</v>
      </c>
      <c r="H637" s="31">
        <v>1</v>
      </c>
      <c r="I637" s="15">
        <f>IF(H637&gt;0,HLOOKUP(R637/100,数值规划表!$B$37:$AA$39,3),1)</f>
        <v>1.7999999999999998</v>
      </c>
      <c r="J637" s="31" t="s">
        <v>1625</v>
      </c>
      <c r="K637" s="15">
        <f>INDEX(数值规划表!$B$15:$B$18,MATCH(J637,攻击范围,0))</f>
        <v>1</v>
      </c>
      <c r="L637" s="70">
        <v>0.85</v>
      </c>
      <c r="M637" s="41">
        <v>0</v>
      </c>
      <c r="N637" s="15">
        <f t="shared" si="36"/>
        <v>147</v>
      </c>
      <c r="O637" s="15">
        <f t="shared" si="37"/>
        <v>4.42</v>
      </c>
      <c r="P637" s="15">
        <f>IF(G637,INDEX(monster!$J$2:$J$606,MATCH(skill!C637,monster!$A$2:$A$606,0)),Q637)</f>
        <v>5</v>
      </c>
      <c r="Q637" s="70"/>
      <c r="R637" s="33">
        <v>150</v>
      </c>
    </row>
    <row r="638" spans="1:18" s="38" customFormat="1" x14ac:dyDescent="0.15">
      <c r="A638" s="32">
        <v>10681</v>
      </c>
      <c r="B638" s="32" t="s">
        <v>1038</v>
      </c>
      <c r="C638" s="31">
        <v>1393</v>
      </c>
      <c r="D638" s="32">
        <v>9</v>
      </c>
      <c r="E638" s="15">
        <f>INDEX(monster!$H$2:$H$617,MATCH(skill!C638,monster!$A$2:$A$617,0))</f>
        <v>107.87</v>
      </c>
      <c r="F638" s="15">
        <f>INDEX(monster!$I$2:$I$617,MATCH(C638,monster!$A$2:$A$617,0))</f>
        <v>3.24</v>
      </c>
      <c r="G638" s="15" t="b">
        <f t="shared" si="35"/>
        <v>1</v>
      </c>
      <c r="H638" s="31">
        <v>1</v>
      </c>
      <c r="I638" s="15">
        <f>IF(H638&gt;0,HLOOKUP(R638/100,数值规划表!$B$37:$AA$39,3),1)</f>
        <v>1.7999999999999998</v>
      </c>
      <c r="J638" s="31" t="s">
        <v>1625</v>
      </c>
      <c r="K638" s="15">
        <f>INDEX(数值规划表!$B$15:$B$18,MATCH(J638,攻击范围,0))</f>
        <v>1</v>
      </c>
      <c r="L638" s="70">
        <v>0.85</v>
      </c>
      <c r="M638" s="41">
        <v>0</v>
      </c>
      <c r="N638" s="15">
        <f t="shared" si="36"/>
        <v>165</v>
      </c>
      <c r="O638" s="15">
        <f t="shared" si="37"/>
        <v>4.96</v>
      </c>
      <c r="P638" s="15">
        <f>IF(G638,INDEX(monster!$J$2:$J$606,MATCH(skill!C638,monster!$A$2:$A$606,0)),Q638)</f>
        <v>5</v>
      </c>
      <c r="Q638" s="70"/>
      <c r="R638" s="33">
        <v>150</v>
      </c>
    </row>
    <row r="639" spans="1:18" s="38" customFormat="1" x14ac:dyDescent="0.15">
      <c r="A639" s="32">
        <v>10682</v>
      </c>
      <c r="B639" s="32" t="s">
        <v>1039</v>
      </c>
      <c r="C639" s="31">
        <v>1394</v>
      </c>
      <c r="D639" s="32">
        <v>10</v>
      </c>
      <c r="E639" s="15">
        <f>INDEX(monster!$H$2:$H$617,MATCH(skill!C639,monster!$A$2:$A$617,0))</f>
        <v>120.82</v>
      </c>
      <c r="F639" s="15">
        <f>INDEX(monster!$I$2:$I$617,MATCH(C639,monster!$A$2:$A$617,0))</f>
        <v>3.62</v>
      </c>
      <c r="G639" s="15" t="b">
        <f t="shared" si="35"/>
        <v>1</v>
      </c>
      <c r="H639" s="31">
        <v>1</v>
      </c>
      <c r="I639" s="15">
        <f>IF(H639&gt;0,HLOOKUP(R639/100,数值规划表!$B$37:$AA$39,3),1)</f>
        <v>1.7999999999999998</v>
      </c>
      <c r="J639" s="31" t="s">
        <v>1625</v>
      </c>
      <c r="K639" s="15">
        <f>INDEX(数值规划表!$B$15:$B$18,MATCH(J639,攻击范围,0))</f>
        <v>1</v>
      </c>
      <c r="L639" s="70">
        <v>0.85</v>
      </c>
      <c r="M639" s="41">
        <v>0</v>
      </c>
      <c r="N639" s="15">
        <f t="shared" si="36"/>
        <v>185</v>
      </c>
      <c r="O639" s="15">
        <f t="shared" si="37"/>
        <v>5.54</v>
      </c>
      <c r="P639" s="15">
        <f>IF(G639,INDEX(monster!$J$2:$J$606,MATCH(skill!C639,monster!$A$2:$A$606,0)),Q639)</f>
        <v>5</v>
      </c>
      <c r="Q639" s="70"/>
      <c r="R639" s="33">
        <v>150</v>
      </c>
    </row>
    <row r="640" spans="1:18" s="39" customFormat="1" x14ac:dyDescent="0.15">
      <c r="A640" s="32">
        <v>10683</v>
      </c>
      <c r="B640" s="34" t="s">
        <v>1526</v>
      </c>
      <c r="C640" s="31">
        <v>1384</v>
      </c>
      <c r="D640" s="32">
        <v>0</v>
      </c>
      <c r="E640" s="15">
        <f>INDEX(monster!$H$2:$H$617,MATCH(skill!C640,monster!$A$2:$A$617,0))</f>
        <v>38.9</v>
      </c>
      <c r="F640" s="15">
        <f>INDEX(monster!$I$2:$I$617,MATCH(C640,monster!$A$2:$A$617,0))</f>
        <v>1.17</v>
      </c>
      <c r="G640" s="15" t="b">
        <f t="shared" si="35"/>
        <v>0</v>
      </c>
      <c r="H640" s="31">
        <v>0</v>
      </c>
      <c r="I640" s="15">
        <f>IF(H640&gt;0,HLOOKUP(R640/100,数值规划表!$B$37:$AA$39,3),1)</f>
        <v>1</v>
      </c>
      <c r="J640" s="31" t="s">
        <v>1672</v>
      </c>
      <c r="K640" s="15">
        <f>INDEX(数值规划表!$B$15:$B$18,MATCH(J640,攻击范围,0))</f>
        <v>0</v>
      </c>
      <c r="L640" s="30">
        <v>1</v>
      </c>
      <c r="M640" s="41">
        <v>0</v>
      </c>
      <c r="N640" s="15">
        <f t="shared" si="36"/>
        <v>0</v>
      </c>
      <c r="O640" s="15">
        <f t="shared" si="37"/>
        <v>0</v>
      </c>
      <c r="P640" s="15">
        <f>IF(G640,INDEX(monster!$J$2:$J$606,MATCH(skill!C640,monster!$A$2:$A$606,0)),Q640)</f>
        <v>0.5</v>
      </c>
      <c r="Q640" s="70">
        <v>0.5</v>
      </c>
      <c r="R640" s="39">
        <v>1500</v>
      </c>
    </row>
    <row r="641" spans="1:18" s="38" customFormat="1" x14ac:dyDescent="0.15">
      <c r="A641" s="32">
        <v>10684</v>
      </c>
      <c r="B641" s="32" t="s">
        <v>1527</v>
      </c>
      <c r="C641" s="31">
        <v>1385</v>
      </c>
      <c r="D641" s="32">
        <v>1</v>
      </c>
      <c r="E641" s="15">
        <f>INDEX(monster!$H$2:$H$617,MATCH(skill!C641,monster!$A$2:$A$617,0))</f>
        <v>43.57</v>
      </c>
      <c r="F641" s="15">
        <f>INDEX(monster!$I$2:$I$617,MATCH(C641,monster!$A$2:$A$617,0))</f>
        <v>1.31</v>
      </c>
      <c r="G641" s="15" t="b">
        <f t="shared" si="35"/>
        <v>0</v>
      </c>
      <c r="H641" s="31">
        <v>0</v>
      </c>
      <c r="I641" s="15">
        <f>IF(H641&gt;0,HLOOKUP(R641/100,数值规划表!$B$37:$AA$39,3),1)</f>
        <v>1</v>
      </c>
      <c r="J641" s="31" t="s">
        <v>1672</v>
      </c>
      <c r="K641" s="15">
        <f>INDEX(数值规划表!$B$15:$B$18,MATCH(J641,攻击范围,0))</f>
        <v>0</v>
      </c>
      <c r="L641" s="30">
        <v>1</v>
      </c>
      <c r="M641" s="41">
        <v>0</v>
      </c>
      <c r="N641" s="15">
        <f t="shared" si="36"/>
        <v>0</v>
      </c>
      <c r="O641" s="15">
        <f t="shared" si="37"/>
        <v>0</v>
      </c>
      <c r="P641" s="15">
        <f>IF(G641,INDEX(monster!$J$2:$J$606,MATCH(skill!C641,monster!$A$2:$A$606,0)),Q641)</f>
        <v>0.5</v>
      </c>
      <c r="Q641" s="70">
        <v>0.5</v>
      </c>
      <c r="R641" s="33">
        <v>1500</v>
      </c>
    </row>
    <row r="642" spans="1:18" s="38" customFormat="1" x14ac:dyDescent="0.15">
      <c r="A642" s="32">
        <v>10685</v>
      </c>
      <c r="B642" s="32" t="s">
        <v>1040</v>
      </c>
      <c r="C642" s="31">
        <v>1386</v>
      </c>
      <c r="D642" s="32">
        <v>2</v>
      </c>
      <c r="E642" s="15">
        <f>INDEX(monster!$H$2:$H$617,MATCH(skill!C642,monster!$A$2:$A$617,0))</f>
        <v>48.8</v>
      </c>
      <c r="F642" s="15">
        <f>INDEX(monster!$I$2:$I$617,MATCH(C642,monster!$A$2:$A$617,0))</f>
        <v>1.46</v>
      </c>
      <c r="G642" s="15" t="b">
        <f t="shared" si="35"/>
        <v>0</v>
      </c>
      <c r="H642" s="31">
        <v>0</v>
      </c>
      <c r="I642" s="15">
        <f>IF(H642&gt;0,HLOOKUP(R642/100,数值规划表!$B$37:$AA$39,3),1)</f>
        <v>1</v>
      </c>
      <c r="J642" s="31" t="s">
        <v>1672</v>
      </c>
      <c r="K642" s="15">
        <f>INDEX(数值规划表!$B$15:$B$18,MATCH(J642,攻击范围,0))</f>
        <v>0</v>
      </c>
      <c r="L642" s="30">
        <v>1</v>
      </c>
      <c r="M642" s="41">
        <v>0</v>
      </c>
      <c r="N642" s="15">
        <f t="shared" si="36"/>
        <v>0</v>
      </c>
      <c r="O642" s="15">
        <f t="shared" si="37"/>
        <v>0</v>
      </c>
      <c r="P642" s="15">
        <f>IF(G642,INDEX(monster!$J$2:$J$606,MATCH(skill!C642,monster!$A$2:$A$606,0)),Q642)</f>
        <v>0.5</v>
      </c>
      <c r="Q642" s="70">
        <v>0.5</v>
      </c>
      <c r="R642" s="33">
        <v>1500</v>
      </c>
    </row>
    <row r="643" spans="1:18" s="38" customFormat="1" x14ac:dyDescent="0.15">
      <c r="A643" s="32">
        <v>10686</v>
      </c>
      <c r="B643" s="32" t="s">
        <v>1041</v>
      </c>
      <c r="C643" s="31">
        <v>1387</v>
      </c>
      <c r="D643" s="32">
        <v>3</v>
      </c>
      <c r="E643" s="15">
        <f>INDEX(monster!$H$2:$H$617,MATCH(skill!C643,monster!$A$2:$A$617,0))</f>
        <v>54.65</v>
      </c>
      <c r="F643" s="15">
        <f>INDEX(monster!$I$2:$I$617,MATCH(C643,monster!$A$2:$A$617,0))</f>
        <v>1.64</v>
      </c>
      <c r="G643" s="15" t="b">
        <f t="shared" si="35"/>
        <v>0</v>
      </c>
      <c r="H643" s="31">
        <v>0</v>
      </c>
      <c r="I643" s="15">
        <f>IF(H643&gt;0,HLOOKUP(R643/100,数值规划表!$B$37:$AA$39,3),1)</f>
        <v>1</v>
      </c>
      <c r="J643" s="31" t="s">
        <v>1672</v>
      </c>
      <c r="K643" s="15">
        <f>INDEX(数值规划表!$B$15:$B$18,MATCH(J643,攻击范围,0))</f>
        <v>0</v>
      </c>
      <c r="L643" s="30">
        <v>1</v>
      </c>
      <c r="M643" s="41">
        <v>0</v>
      </c>
      <c r="N643" s="15">
        <f t="shared" si="36"/>
        <v>0</v>
      </c>
      <c r="O643" s="15">
        <f t="shared" si="37"/>
        <v>0</v>
      </c>
      <c r="P643" s="15">
        <f>IF(G643,INDEX(monster!$J$2:$J$606,MATCH(skill!C643,monster!$A$2:$A$606,0)),Q643)</f>
        <v>0.5</v>
      </c>
      <c r="Q643" s="70">
        <v>0.5</v>
      </c>
      <c r="R643" s="33">
        <v>1500</v>
      </c>
    </row>
    <row r="644" spans="1:18" s="38" customFormat="1" x14ac:dyDescent="0.15">
      <c r="A644" s="32">
        <v>10687</v>
      </c>
      <c r="B644" s="32" t="s">
        <v>1042</v>
      </c>
      <c r="C644" s="31">
        <v>1388</v>
      </c>
      <c r="D644" s="32">
        <v>4</v>
      </c>
      <c r="E644" s="15">
        <f>INDEX(monster!$H$2:$H$617,MATCH(skill!C644,monster!$A$2:$A$617,0))</f>
        <v>61.21</v>
      </c>
      <c r="F644" s="15">
        <f>INDEX(monster!$I$2:$I$617,MATCH(C644,monster!$A$2:$A$617,0))</f>
        <v>1.84</v>
      </c>
      <c r="G644" s="15" t="b">
        <f t="shared" si="35"/>
        <v>0</v>
      </c>
      <c r="H644" s="31">
        <v>0</v>
      </c>
      <c r="I644" s="15">
        <f>IF(H644&gt;0,HLOOKUP(R644/100,数值规划表!$B$37:$AA$39,3),1)</f>
        <v>1</v>
      </c>
      <c r="J644" s="31" t="s">
        <v>1672</v>
      </c>
      <c r="K644" s="15">
        <f>INDEX(数值规划表!$B$15:$B$18,MATCH(J644,攻击范围,0))</f>
        <v>0</v>
      </c>
      <c r="L644" s="30">
        <v>1</v>
      </c>
      <c r="M644" s="41">
        <v>0</v>
      </c>
      <c r="N644" s="15">
        <f t="shared" si="36"/>
        <v>0</v>
      </c>
      <c r="O644" s="15">
        <f t="shared" si="37"/>
        <v>0</v>
      </c>
      <c r="P644" s="15">
        <f>IF(G644,INDEX(monster!$J$2:$J$606,MATCH(skill!C644,monster!$A$2:$A$606,0)),Q644)</f>
        <v>0.5</v>
      </c>
      <c r="Q644" s="70">
        <v>0.5</v>
      </c>
      <c r="R644" s="33">
        <v>1500</v>
      </c>
    </row>
    <row r="645" spans="1:18" s="38" customFormat="1" x14ac:dyDescent="0.15">
      <c r="A645" s="32">
        <v>10688</v>
      </c>
      <c r="B645" s="32" t="s">
        <v>1043</v>
      </c>
      <c r="C645" s="31">
        <v>1389</v>
      </c>
      <c r="D645" s="32">
        <v>5</v>
      </c>
      <c r="E645" s="15">
        <f>INDEX(monster!$H$2:$H$617,MATCH(skill!C645,monster!$A$2:$A$617,0))</f>
        <v>68.56</v>
      </c>
      <c r="F645" s="15">
        <f>INDEX(monster!$I$2:$I$617,MATCH(C645,monster!$A$2:$A$617,0))</f>
        <v>2.06</v>
      </c>
      <c r="G645" s="15" t="b">
        <f t="shared" si="35"/>
        <v>0</v>
      </c>
      <c r="H645" s="31">
        <v>0</v>
      </c>
      <c r="I645" s="15">
        <f>IF(H645&gt;0,HLOOKUP(R645/100,数值规划表!$B$37:$AA$39,3),1)</f>
        <v>1</v>
      </c>
      <c r="J645" s="31" t="s">
        <v>1672</v>
      </c>
      <c r="K645" s="15">
        <f>INDEX(数值规划表!$B$15:$B$18,MATCH(J645,攻击范围,0))</f>
        <v>0</v>
      </c>
      <c r="L645" s="30">
        <v>1</v>
      </c>
      <c r="M645" s="41">
        <v>0</v>
      </c>
      <c r="N645" s="15">
        <f t="shared" si="36"/>
        <v>0</v>
      </c>
      <c r="O645" s="15">
        <f t="shared" si="37"/>
        <v>0</v>
      </c>
      <c r="P645" s="15">
        <f>IF(G645,INDEX(monster!$J$2:$J$606,MATCH(skill!C645,monster!$A$2:$A$606,0)),Q645)</f>
        <v>0.5</v>
      </c>
      <c r="Q645" s="70">
        <v>0.5</v>
      </c>
      <c r="R645" s="33">
        <v>1500</v>
      </c>
    </row>
    <row r="646" spans="1:18" s="38" customFormat="1" x14ac:dyDescent="0.15">
      <c r="A646" s="32">
        <v>10689</v>
      </c>
      <c r="B646" s="32" t="s">
        <v>1044</v>
      </c>
      <c r="C646" s="31">
        <v>1390</v>
      </c>
      <c r="D646" s="32">
        <v>6</v>
      </c>
      <c r="E646" s="15">
        <f>INDEX(monster!$H$2:$H$617,MATCH(skill!C646,monster!$A$2:$A$617,0))</f>
        <v>76.78</v>
      </c>
      <c r="F646" s="15">
        <f>INDEX(monster!$I$2:$I$617,MATCH(C646,monster!$A$2:$A$617,0))</f>
        <v>2.2999999999999998</v>
      </c>
      <c r="G646" s="15" t="b">
        <f t="shared" si="35"/>
        <v>0</v>
      </c>
      <c r="H646" s="31">
        <v>0</v>
      </c>
      <c r="I646" s="15">
        <f>IF(H646&gt;0,HLOOKUP(R646/100,数值规划表!$B$37:$AA$39,3),1)</f>
        <v>1</v>
      </c>
      <c r="J646" s="31" t="s">
        <v>1672</v>
      </c>
      <c r="K646" s="15">
        <f>INDEX(数值规划表!$B$15:$B$18,MATCH(J646,攻击范围,0))</f>
        <v>0</v>
      </c>
      <c r="L646" s="30">
        <v>1</v>
      </c>
      <c r="M646" s="41">
        <v>0</v>
      </c>
      <c r="N646" s="15">
        <f t="shared" si="36"/>
        <v>0</v>
      </c>
      <c r="O646" s="15">
        <f t="shared" si="37"/>
        <v>0</v>
      </c>
      <c r="P646" s="15">
        <f>IF(G646,INDEX(monster!$J$2:$J$606,MATCH(skill!C646,monster!$A$2:$A$606,0)),Q646)</f>
        <v>0.5</v>
      </c>
      <c r="Q646" s="70">
        <v>0.5</v>
      </c>
      <c r="R646" s="33">
        <v>1500</v>
      </c>
    </row>
    <row r="647" spans="1:18" s="38" customFormat="1" x14ac:dyDescent="0.15">
      <c r="A647" s="32">
        <v>10690</v>
      </c>
      <c r="B647" s="32" t="s">
        <v>1045</v>
      </c>
      <c r="C647" s="31">
        <v>1391</v>
      </c>
      <c r="D647" s="32">
        <v>7</v>
      </c>
      <c r="E647" s="15">
        <f>INDEX(monster!$H$2:$H$617,MATCH(skill!C647,monster!$A$2:$A$617,0))</f>
        <v>86</v>
      </c>
      <c r="F647" s="15">
        <f>INDEX(monster!$I$2:$I$617,MATCH(C647,monster!$A$2:$A$617,0))</f>
        <v>2.58</v>
      </c>
      <c r="G647" s="15" t="b">
        <f t="shared" si="35"/>
        <v>0</v>
      </c>
      <c r="H647" s="31">
        <v>0</v>
      </c>
      <c r="I647" s="15">
        <f>IF(H647&gt;0,HLOOKUP(R647/100,数值规划表!$B$37:$AA$39,3),1)</f>
        <v>1</v>
      </c>
      <c r="J647" s="31" t="s">
        <v>1672</v>
      </c>
      <c r="K647" s="15">
        <f>INDEX(数值规划表!$B$15:$B$18,MATCH(J647,攻击范围,0))</f>
        <v>0</v>
      </c>
      <c r="L647" s="30">
        <v>1</v>
      </c>
      <c r="M647" s="41">
        <v>0</v>
      </c>
      <c r="N647" s="15">
        <f t="shared" si="36"/>
        <v>0</v>
      </c>
      <c r="O647" s="15">
        <f t="shared" si="37"/>
        <v>0</v>
      </c>
      <c r="P647" s="15">
        <f>IF(G647,INDEX(monster!$J$2:$J$606,MATCH(skill!C647,monster!$A$2:$A$606,0)),Q647)</f>
        <v>0.5</v>
      </c>
      <c r="Q647" s="70">
        <v>0.5</v>
      </c>
      <c r="R647" s="33">
        <v>1500</v>
      </c>
    </row>
    <row r="648" spans="1:18" s="38" customFormat="1" x14ac:dyDescent="0.15">
      <c r="A648" s="32">
        <v>10691</v>
      </c>
      <c r="B648" s="32" t="s">
        <v>1046</v>
      </c>
      <c r="C648" s="31">
        <v>1392</v>
      </c>
      <c r="D648" s="32">
        <v>8</v>
      </c>
      <c r="E648" s="15">
        <f>INDEX(monster!$H$2:$H$617,MATCH(skill!C648,monster!$A$2:$A$617,0))</f>
        <v>96.31</v>
      </c>
      <c r="F648" s="15">
        <f>INDEX(monster!$I$2:$I$617,MATCH(C648,monster!$A$2:$A$617,0))</f>
        <v>2.89</v>
      </c>
      <c r="G648" s="15" t="b">
        <f t="shared" si="35"/>
        <v>0</v>
      </c>
      <c r="H648" s="31">
        <v>0</v>
      </c>
      <c r="I648" s="15">
        <f>IF(H648&gt;0,HLOOKUP(R648/100,数值规划表!$B$37:$AA$39,3),1)</f>
        <v>1</v>
      </c>
      <c r="J648" s="31" t="s">
        <v>1672</v>
      </c>
      <c r="K648" s="15">
        <f>INDEX(数值规划表!$B$15:$B$18,MATCH(J648,攻击范围,0))</f>
        <v>0</v>
      </c>
      <c r="L648" s="30">
        <v>1</v>
      </c>
      <c r="M648" s="41">
        <v>0</v>
      </c>
      <c r="N648" s="15">
        <f t="shared" si="36"/>
        <v>0</v>
      </c>
      <c r="O648" s="15">
        <f t="shared" si="37"/>
        <v>0</v>
      </c>
      <c r="P648" s="15">
        <f>IF(G648,INDEX(monster!$J$2:$J$606,MATCH(skill!C648,monster!$A$2:$A$606,0)),Q648)</f>
        <v>0.5</v>
      </c>
      <c r="Q648" s="70">
        <v>0.5</v>
      </c>
      <c r="R648" s="33">
        <v>1500</v>
      </c>
    </row>
    <row r="649" spans="1:18" s="38" customFormat="1" x14ac:dyDescent="0.15">
      <c r="A649" s="32">
        <v>10692</v>
      </c>
      <c r="B649" s="32" t="s">
        <v>1047</v>
      </c>
      <c r="C649" s="31">
        <v>1393</v>
      </c>
      <c r="D649" s="32">
        <v>9</v>
      </c>
      <c r="E649" s="15">
        <f>INDEX(monster!$H$2:$H$617,MATCH(skill!C649,monster!$A$2:$A$617,0))</f>
        <v>107.87</v>
      </c>
      <c r="F649" s="15">
        <f>INDEX(monster!$I$2:$I$617,MATCH(C649,monster!$A$2:$A$617,0))</f>
        <v>3.24</v>
      </c>
      <c r="G649" s="15" t="b">
        <f t="shared" si="35"/>
        <v>0</v>
      </c>
      <c r="H649" s="31">
        <v>0</v>
      </c>
      <c r="I649" s="15">
        <f>IF(H649&gt;0,HLOOKUP(R649/100,数值规划表!$B$37:$AA$39,3),1)</f>
        <v>1</v>
      </c>
      <c r="J649" s="31" t="s">
        <v>1672</v>
      </c>
      <c r="K649" s="15">
        <f>INDEX(数值规划表!$B$15:$B$18,MATCH(J649,攻击范围,0))</f>
        <v>0</v>
      </c>
      <c r="L649" s="30">
        <v>1</v>
      </c>
      <c r="M649" s="41">
        <v>0</v>
      </c>
      <c r="N649" s="15">
        <f t="shared" si="36"/>
        <v>0</v>
      </c>
      <c r="O649" s="15">
        <f t="shared" si="37"/>
        <v>0</v>
      </c>
      <c r="P649" s="15">
        <f>IF(G649,INDEX(monster!$J$2:$J$606,MATCH(skill!C649,monster!$A$2:$A$606,0)),Q649)</f>
        <v>0.5</v>
      </c>
      <c r="Q649" s="70">
        <v>0.5</v>
      </c>
      <c r="R649" s="33">
        <v>1500</v>
      </c>
    </row>
    <row r="650" spans="1:18" s="38" customFormat="1" x14ac:dyDescent="0.15">
      <c r="A650" s="32">
        <v>10693</v>
      </c>
      <c r="B650" s="32" t="s">
        <v>1048</v>
      </c>
      <c r="C650" s="31">
        <v>1394</v>
      </c>
      <c r="D650" s="32">
        <v>10</v>
      </c>
      <c r="E650" s="15">
        <f>INDEX(monster!$H$2:$H$617,MATCH(skill!C650,monster!$A$2:$A$617,0))</f>
        <v>120.82</v>
      </c>
      <c r="F650" s="15">
        <f>INDEX(monster!$I$2:$I$617,MATCH(C650,monster!$A$2:$A$617,0))</f>
        <v>3.62</v>
      </c>
      <c r="G650" s="15" t="b">
        <f t="shared" si="35"/>
        <v>0</v>
      </c>
      <c r="H650" s="31">
        <v>0</v>
      </c>
      <c r="I650" s="15">
        <f>IF(H650&gt;0,HLOOKUP(R650/100,数值规划表!$B$37:$AA$39,3),1)</f>
        <v>1</v>
      </c>
      <c r="J650" s="31" t="s">
        <v>1672</v>
      </c>
      <c r="K650" s="15">
        <f>INDEX(数值规划表!$B$15:$B$18,MATCH(J650,攻击范围,0))</f>
        <v>0</v>
      </c>
      <c r="L650" s="30">
        <v>1</v>
      </c>
      <c r="M650" s="41">
        <v>0</v>
      </c>
      <c r="N650" s="15">
        <f t="shared" si="36"/>
        <v>0</v>
      </c>
      <c r="O650" s="15">
        <f t="shared" si="37"/>
        <v>0</v>
      </c>
      <c r="P650" s="15">
        <f>IF(G650,INDEX(monster!$J$2:$J$606,MATCH(skill!C650,monster!$A$2:$A$606,0)),Q650)</f>
        <v>0.5</v>
      </c>
      <c r="Q650" s="70">
        <v>0.5</v>
      </c>
      <c r="R650" s="33">
        <v>1500</v>
      </c>
    </row>
    <row r="651" spans="1:18" s="38" customFormat="1" x14ac:dyDescent="0.15">
      <c r="A651" s="32">
        <v>10694</v>
      </c>
      <c r="B651" s="32" t="s">
        <v>1528</v>
      </c>
      <c r="C651" s="31">
        <v>1395</v>
      </c>
      <c r="D651" s="32">
        <v>0</v>
      </c>
      <c r="E651" s="15">
        <f>INDEX(monster!$H$2:$H$617,MATCH(skill!C651,monster!$A$2:$A$617,0))</f>
        <v>36.06</v>
      </c>
      <c r="F651" s="15">
        <f>INDEX(monster!$I$2:$I$617,MATCH(C651,monster!$A$2:$A$617,0))</f>
        <v>1.08</v>
      </c>
      <c r="G651" s="15" t="b">
        <f t="shared" si="35"/>
        <v>1</v>
      </c>
      <c r="H651" s="31">
        <v>1</v>
      </c>
      <c r="I651" s="15">
        <f>IF(H651&gt;0,HLOOKUP(R651/100,数值规划表!$B$37:$AA$39,3),1)</f>
        <v>1</v>
      </c>
      <c r="J651" s="31" t="s">
        <v>1625</v>
      </c>
      <c r="K651" s="15">
        <f>INDEX(数值规划表!$B$15:$B$18,MATCH(J651,攻击范围,0))</f>
        <v>1</v>
      </c>
      <c r="L651" s="30">
        <v>1</v>
      </c>
      <c r="M651" s="41">
        <v>0</v>
      </c>
      <c r="N651" s="15">
        <f t="shared" si="36"/>
        <v>36</v>
      </c>
      <c r="O651" s="15">
        <f t="shared" si="37"/>
        <v>1.08</v>
      </c>
      <c r="P651" s="15">
        <f>IF(G651,INDEX(monster!$J$2:$J$606,MATCH(skill!C651,monster!$A$2:$A$606,0)),Q651)</f>
        <v>1.2</v>
      </c>
      <c r="Q651" s="70"/>
      <c r="R651" s="33">
        <v>100</v>
      </c>
    </row>
    <row r="652" spans="1:18" s="38" customFormat="1" x14ac:dyDescent="0.15">
      <c r="A652" s="32">
        <v>10695</v>
      </c>
      <c r="B652" s="32" t="s">
        <v>1529</v>
      </c>
      <c r="C652" s="31">
        <v>1396</v>
      </c>
      <c r="D652" s="32">
        <v>1</v>
      </c>
      <c r="E652" s="15">
        <f>INDEX(monster!$H$2:$H$617,MATCH(skill!C652,monster!$A$2:$A$617,0))</f>
        <v>40.39</v>
      </c>
      <c r="F652" s="15">
        <f>INDEX(monster!$I$2:$I$617,MATCH(C652,monster!$A$2:$A$617,0))</f>
        <v>1.21</v>
      </c>
      <c r="G652" s="15" t="b">
        <f t="shared" si="35"/>
        <v>1</v>
      </c>
      <c r="H652" s="31">
        <v>1</v>
      </c>
      <c r="I652" s="15">
        <f>IF(H652&gt;0,HLOOKUP(R652/100,数值规划表!$B$37:$AA$39,3),1)</f>
        <v>1</v>
      </c>
      <c r="J652" s="31" t="s">
        <v>1625</v>
      </c>
      <c r="K652" s="15">
        <f>INDEX(数值规划表!$B$15:$B$18,MATCH(J652,攻击范围,0))</f>
        <v>1</v>
      </c>
      <c r="L652" s="30">
        <v>1</v>
      </c>
      <c r="M652" s="41">
        <v>0</v>
      </c>
      <c r="N652" s="15">
        <f t="shared" si="36"/>
        <v>40</v>
      </c>
      <c r="O652" s="15">
        <f t="shared" si="37"/>
        <v>1.21</v>
      </c>
      <c r="P652" s="15">
        <f>IF(G652,INDEX(monster!$J$2:$J$606,MATCH(skill!C652,monster!$A$2:$A$606,0)),Q652)</f>
        <v>1.2</v>
      </c>
      <c r="Q652" s="70"/>
      <c r="R652" s="33">
        <v>100</v>
      </c>
    </row>
    <row r="653" spans="1:18" s="38" customFormat="1" x14ac:dyDescent="0.15">
      <c r="A653" s="32">
        <v>10696</v>
      </c>
      <c r="B653" s="32" t="s">
        <v>1049</v>
      </c>
      <c r="C653" s="31">
        <v>1397</v>
      </c>
      <c r="D653" s="32">
        <v>2</v>
      </c>
      <c r="E653" s="15">
        <f>INDEX(monster!$H$2:$H$617,MATCH(skill!C653,monster!$A$2:$A$617,0))</f>
        <v>45.23</v>
      </c>
      <c r="F653" s="15">
        <f>INDEX(monster!$I$2:$I$617,MATCH(C653,monster!$A$2:$A$617,0))</f>
        <v>1.36</v>
      </c>
      <c r="G653" s="15" t="b">
        <f t="shared" si="35"/>
        <v>1</v>
      </c>
      <c r="H653" s="31">
        <v>1</v>
      </c>
      <c r="I653" s="15">
        <f>IF(H653&gt;0,HLOOKUP(R653/100,数值规划表!$B$37:$AA$39,3),1)</f>
        <v>1</v>
      </c>
      <c r="J653" s="31" t="s">
        <v>1625</v>
      </c>
      <c r="K653" s="15">
        <f>INDEX(数值规划表!$B$15:$B$18,MATCH(J653,攻击范围,0))</f>
        <v>1</v>
      </c>
      <c r="L653" s="30">
        <v>1</v>
      </c>
      <c r="M653" s="41">
        <v>0</v>
      </c>
      <c r="N653" s="15">
        <f t="shared" si="36"/>
        <v>45</v>
      </c>
      <c r="O653" s="15">
        <f t="shared" si="37"/>
        <v>1.36</v>
      </c>
      <c r="P653" s="15">
        <f>IF(G653,INDEX(monster!$J$2:$J$606,MATCH(skill!C653,monster!$A$2:$A$606,0)),Q653)</f>
        <v>1.2</v>
      </c>
      <c r="Q653" s="70"/>
      <c r="R653" s="33">
        <v>100</v>
      </c>
    </row>
    <row r="654" spans="1:18" s="38" customFormat="1" x14ac:dyDescent="0.15">
      <c r="A654" s="32">
        <v>10697</v>
      </c>
      <c r="B654" s="32" t="s">
        <v>1050</v>
      </c>
      <c r="C654" s="31">
        <v>1398</v>
      </c>
      <c r="D654" s="32">
        <v>3</v>
      </c>
      <c r="E654" s="15">
        <f>INDEX(monster!$H$2:$H$617,MATCH(skill!C654,monster!$A$2:$A$617,0))</f>
        <v>50.66</v>
      </c>
      <c r="F654" s="15">
        <f>INDEX(monster!$I$2:$I$617,MATCH(C654,monster!$A$2:$A$617,0))</f>
        <v>1.52</v>
      </c>
      <c r="G654" s="15" t="b">
        <f t="shared" si="35"/>
        <v>1</v>
      </c>
      <c r="H654" s="31">
        <v>1</v>
      </c>
      <c r="I654" s="15">
        <f>IF(H654&gt;0,HLOOKUP(R654/100,数值规划表!$B$37:$AA$39,3),1)</f>
        <v>1</v>
      </c>
      <c r="J654" s="31" t="s">
        <v>1625</v>
      </c>
      <c r="K654" s="15">
        <f>INDEX(数值规划表!$B$15:$B$18,MATCH(J654,攻击范围,0))</f>
        <v>1</v>
      </c>
      <c r="L654" s="30">
        <v>1</v>
      </c>
      <c r="M654" s="41">
        <v>0</v>
      </c>
      <c r="N654" s="15">
        <f t="shared" si="36"/>
        <v>51</v>
      </c>
      <c r="O654" s="15">
        <f t="shared" si="37"/>
        <v>1.52</v>
      </c>
      <c r="P654" s="15">
        <f>IF(G654,INDEX(monster!$J$2:$J$606,MATCH(skill!C654,monster!$A$2:$A$606,0)),Q654)</f>
        <v>1.2</v>
      </c>
      <c r="Q654" s="70"/>
      <c r="R654" s="33">
        <v>100</v>
      </c>
    </row>
    <row r="655" spans="1:18" s="38" customFormat="1" x14ac:dyDescent="0.15">
      <c r="A655" s="32">
        <v>10698</v>
      </c>
      <c r="B655" s="32" t="s">
        <v>1051</v>
      </c>
      <c r="C655" s="31">
        <v>1399</v>
      </c>
      <c r="D655" s="32">
        <v>4</v>
      </c>
      <c r="E655" s="15">
        <f>INDEX(monster!$H$2:$H$617,MATCH(skill!C655,monster!$A$2:$A$617,0))</f>
        <v>56.74</v>
      </c>
      <c r="F655" s="15">
        <f>INDEX(monster!$I$2:$I$617,MATCH(C655,monster!$A$2:$A$617,0))</f>
        <v>1.7</v>
      </c>
      <c r="G655" s="15" t="b">
        <f t="shared" si="35"/>
        <v>1</v>
      </c>
      <c r="H655" s="31">
        <v>1</v>
      </c>
      <c r="I655" s="15">
        <f>IF(H655&gt;0,HLOOKUP(R655/100,数值规划表!$B$37:$AA$39,3),1)</f>
        <v>1</v>
      </c>
      <c r="J655" s="31" t="s">
        <v>1625</v>
      </c>
      <c r="K655" s="15">
        <f>INDEX(数值规划表!$B$15:$B$18,MATCH(J655,攻击范围,0))</f>
        <v>1</v>
      </c>
      <c r="L655" s="30">
        <v>1</v>
      </c>
      <c r="M655" s="41">
        <v>0</v>
      </c>
      <c r="N655" s="15">
        <f t="shared" si="36"/>
        <v>57</v>
      </c>
      <c r="O655" s="15">
        <f t="shared" si="37"/>
        <v>1.7</v>
      </c>
      <c r="P655" s="15">
        <f>IF(G655,INDEX(monster!$J$2:$J$606,MATCH(skill!C655,monster!$A$2:$A$606,0)),Q655)</f>
        <v>1.2</v>
      </c>
      <c r="Q655" s="70"/>
      <c r="R655" s="33">
        <v>100</v>
      </c>
    </row>
    <row r="656" spans="1:18" s="38" customFormat="1" x14ac:dyDescent="0.15">
      <c r="A656" s="32">
        <v>10699</v>
      </c>
      <c r="B656" s="32" t="s">
        <v>1052</v>
      </c>
      <c r="C656" s="31">
        <v>1400</v>
      </c>
      <c r="D656" s="32">
        <v>5</v>
      </c>
      <c r="E656" s="15">
        <f>INDEX(monster!$H$2:$H$617,MATCH(skill!C656,monster!$A$2:$A$617,0))</f>
        <v>63.55</v>
      </c>
      <c r="F656" s="15">
        <f>INDEX(monster!$I$2:$I$617,MATCH(C656,monster!$A$2:$A$617,0))</f>
        <v>1.91</v>
      </c>
      <c r="G656" s="15" t="b">
        <f t="shared" si="35"/>
        <v>1</v>
      </c>
      <c r="H656" s="31">
        <v>1</v>
      </c>
      <c r="I656" s="15">
        <f>IF(H656&gt;0,HLOOKUP(R656/100,数值规划表!$B$37:$AA$39,3),1)</f>
        <v>1</v>
      </c>
      <c r="J656" s="31" t="s">
        <v>1625</v>
      </c>
      <c r="K656" s="15">
        <f>INDEX(数值规划表!$B$15:$B$18,MATCH(J656,攻击范围,0))</f>
        <v>1</v>
      </c>
      <c r="L656" s="30">
        <v>1</v>
      </c>
      <c r="M656" s="41">
        <v>0</v>
      </c>
      <c r="N656" s="15">
        <f t="shared" si="36"/>
        <v>64</v>
      </c>
      <c r="O656" s="15">
        <f t="shared" si="37"/>
        <v>1.91</v>
      </c>
      <c r="P656" s="15">
        <f>IF(G656,INDEX(monster!$J$2:$J$606,MATCH(skill!C656,monster!$A$2:$A$606,0)),Q656)</f>
        <v>1.2</v>
      </c>
      <c r="Q656" s="70"/>
      <c r="R656" s="33">
        <v>100</v>
      </c>
    </row>
    <row r="657" spans="1:18" s="38" customFormat="1" x14ac:dyDescent="0.15">
      <c r="A657" s="32">
        <v>10700</v>
      </c>
      <c r="B657" s="32" t="s">
        <v>1053</v>
      </c>
      <c r="C657" s="31">
        <v>1401</v>
      </c>
      <c r="D657" s="32">
        <v>6</v>
      </c>
      <c r="E657" s="15">
        <f>INDEX(monster!$H$2:$H$617,MATCH(skill!C657,monster!$A$2:$A$617,0))</f>
        <v>71.180000000000007</v>
      </c>
      <c r="F657" s="15">
        <f>INDEX(monster!$I$2:$I$617,MATCH(C657,monster!$A$2:$A$617,0))</f>
        <v>2.14</v>
      </c>
      <c r="G657" s="15" t="b">
        <f t="shared" si="35"/>
        <v>1</v>
      </c>
      <c r="H657" s="31">
        <v>1</v>
      </c>
      <c r="I657" s="15">
        <f>IF(H657&gt;0,HLOOKUP(R657/100,数值规划表!$B$37:$AA$39,3),1)</f>
        <v>1</v>
      </c>
      <c r="J657" s="31" t="s">
        <v>1625</v>
      </c>
      <c r="K657" s="15">
        <f>INDEX(数值规划表!$B$15:$B$18,MATCH(J657,攻击范围,0))</f>
        <v>1</v>
      </c>
      <c r="L657" s="30">
        <v>1</v>
      </c>
      <c r="M657" s="41">
        <v>0</v>
      </c>
      <c r="N657" s="15">
        <f t="shared" si="36"/>
        <v>71</v>
      </c>
      <c r="O657" s="15">
        <f t="shared" si="37"/>
        <v>2.14</v>
      </c>
      <c r="P657" s="15">
        <f>IF(G657,INDEX(monster!$J$2:$J$606,MATCH(skill!C657,monster!$A$2:$A$606,0)),Q657)</f>
        <v>1.2</v>
      </c>
      <c r="Q657" s="70"/>
      <c r="R657" s="33">
        <v>100</v>
      </c>
    </row>
    <row r="658" spans="1:18" s="38" customFormat="1" x14ac:dyDescent="0.15">
      <c r="A658" s="32">
        <v>10701</v>
      </c>
      <c r="B658" s="32" t="s">
        <v>1054</v>
      </c>
      <c r="C658" s="31">
        <v>1402</v>
      </c>
      <c r="D658" s="32">
        <v>7</v>
      </c>
      <c r="E658" s="15">
        <f>INDEX(monster!$H$2:$H$617,MATCH(skill!C658,monster!$A$2:$A$617,0))</f>
        <v>79.72</v>
      </c>
      <c r="F658" s="15">
        <f>INDEX(monster!$I$2:$I$617,MATCH(C658,monster!$A$2:$A$617,0))</f>
        <v>2.39</v>
      </c>
      <c r="G658" s="15" t="b">
        <f t="shared" si="35"/>
        <v>1</v>
      </c>
      <c r="H658" s="31">
        <v>1</v>
      </c>
      <c r="I658" s="15">
        <f>IF(H658&gt;0,HLOOKUP(R658/100,数值规划表!$B$37:$AA$39,3),1)</f>
        <v>1</v>
      </c>
      <c r="J658" s="31" t="s">
        <v>1625</v>
      </c>
      <c r="K658" s="15">
        <f>INDEX(数值规划表!$B$15:$B$18,MATCH(J658,攻击范围,0))</f>
        <v>1</v>
      </c>
      <c r="L658" s="30">
        <v>1</v>
      </c>
      <c r="M658" s="41">
        <v>0</v>
      </c>
      <c r="N658" s="15">
        <f t="shared" si="36"/>
        <v>80</v>
      </c>
      <c r="O658" s="15">
        <f t="shared" si="37"/>
        <v>2.39</v>
      </c>
      <c r="P658" s="15">
        <f>IF(G658,INDEX(monster!$J$2:$J$606,MATCH(skill!C658,monster!$A$2:$A$606,0)),Q658)</f>
        <v>1.2</v>
      </c>
      <c r="Q658" s="70"/>
      <c r="R658" s="33">
        <v>100</v>
      </c>
    </row>
    <row r="659" spans="1:18" s="38" customFormat="1" x14ac:dyDescent="0.15">
      <c r="A659" s="32">
        <v>10702</v>
      </c>
      <c r="B659" s="32" t="s">
        <v>1055</v>
      </c>
      <c r="C659" s="31">
        <v>1403</v>
      </c>
      <c r="D659" s="32">
        <v>8</v>
      </c>
      <c r="E659" s="15">
        <f>INDEX(monster!$H$2:$H$617,MATCH(skill!C659,monster!$A$2:$A$617,0))</f>
        <v>89.28</v>
      </c>
      <c r="F659" s="15">
        <f>INDEX(monster!$I$2:$I$617,MATCH(C659,monster!$A$2:$A$617,0))</f>
        <v>2.68</v>
      </c>
      <c r="G659" s="15" t="b">
        <f t="shared" si="35"/>
        <v>1</v>
      </c>
      <c r="H659" s="31">
        <v>1</v>
      </c>
      <c r="I659" s="15">
        <f>IF(H659&gt;0,HLOOKUP(R659/100,数值规划表!$B$37:$AA$39,3),1)</f>
        <v>1</v>
      </c>
      <c r="J659" s="31" t="s">
        <v>1625</v>
      </c>
      <c r="K659" s="15">
        <f>INDEX(数值规划表!$B$15:$B$18,MATCH(J659,攻击范围,0))</f>
        <v>1</v>
      </c>
      <c r="L659" s="30">
        <v>1</v>
      </c>
      <c r="M659" s="41">
        <v>0</v>
      </c>
      <c r="N659" s="15">
        <f t="shared" si="36"/>
        <v>89</v>
      </c>
      <c r="O659" s="15">
        <f t="shared" si="37"/>
        <v>2.68</v>
      </c>
      <c r="P659" s="15">
        <f>IF(G659,INDEX(monster!$J$2:$J$606,MATCH(skill!C659,monster!$A$2:$A$606,0)),Q659)</f>
        <v>1.2</v>
      </c>
      <c r="Q659" s="70"/>
      <c r="R659" s="33">
        <v>100</v>
      </c>
    </row>
    <row r="660" spans="1:18" s="38" customFormat="1" x14ac:dyDescent="0.15">
      <c r="A660" s="32">
        <v>10703</v>
      </c>
      <c r="B660" s="32" t="s">
        <v>1056</v>
      </c>
      <c r="C660" s="31">
        <v>1404</v>
      </c>
      <c r="D660" s="32">
        <v>9</v>
      </c>
      <c r="E660" s="15">
        <f>INDEX(monster!$H$2:$H$617,MATCH(skill!C660,monster!$A$2:$A$617,0))</f>
        <v>100</v>
      </c>
      <c r="F660" s="15">
        <f>INDEX(monster!$I$2:$I$617,MATCH(C660,monster!$A$2:$A$617,0))</f>
        <v>3</v>
      </c>
      <c r="G660" s="15" t="b">
        <f t="shared" si="35"/>
        <v>1</v>
      </c>
      <c r="H660" s="31">
        <v>1</v>
      </c>
      <c r="I660" s="15">
        <f>IF(H660&gt;0,HLOOKUP(R660/100,数值规划表!$B$37:$AA$39,3),1)</f>
        <v>1</v>
      </c>
      <c r="J660" s="31" t="s">
        <v>1625</v>
      </c>
      <c r="K660" s="15">
        <f>INDEX(数值规划表!$B$15:$B$18,MATCH(J660,攻击范围,0))</f>
        <v>1</v>
      </c>
      <c r="L660" s="30">
        <v>1</v>
      </c>
      <c r="M660" s="41">
        <v>0</v>
      </c>
      <c r="N660" s="15">
        <f t="shared" si="36"/>
        <v>100</v>
      </c>
      <c r="O660" s="15">
        <f t="shared" si="37"/>
        <v>3</v>
      </c>
      <c r="P660" s="15">
        <f>IF(G660,INDEX(monster!$J$2:$J$606,MATCH(skill!C660,monster!$A$2:$A$606,0)),Q660)</f>
        <v>1.2</v>
      </c>
      <c r="Q660" s="70"/>
      <c r="R660" s="33">
        <v>100</v>
      </c>
    </row>
    <row r="661" spans="1:18" s="38" customFormat="1" x14ac:dyDescent="0.15">
      <c r="A661" s="32">
        <v>10704</v>
      </c>
      <c r="B661" s="32" t="s">
        <v>1057</v>
      </c>
      <c r="C661" s="31">
        <v>1405</v>
      </c>
      <c r="D661" s="32">
        <v>10</v>
      </c>
      <c r="E661" s="15">
        <f>INDEX(monster!$H$2:$H$617,MATCH(skill!C661,monster!$A$2:$A$617,0))</f>
        <v>112</v>
      </c>
      <c r="F661" s="15">
        <f>INDEX(monster!$I$2:$I$617,MATCH(C661,monster!$A$2:$A$617,0))</f>
        <v>3.36</v>
      </c>
      <c r="G661" s="15" t="b">
        <f t="shared" si="35"/>
        <v>1</v>
      </c>
      <c r="H661" s="31">
        <v>1</v>
      </c>
      <c r="I661" s="15">
        <f>IF(H661&gt;0,HLOOKUP(R661/100,数值规划表!$B$37:$AA$39,3),1)</f>
        <v>1</v>
      </c>
      <c r="J661" s="31" t="s">
        <v>1625</v>
      </c>
      <c r="K661" s="15">
        <f>INDEX(数值规划表!$B$15:$B$18,MATCH(J661,攻击范围,0))</f>
        <v>1</v>
      </c>
      <c r="L661" s="30">
        <v>1</v>
      </c>
      <c r="M661" s="41">
        <v>0</v>
      </c>
      <c r="N661" s="15">
        <f t="shared" si="36"/>
        <v>112</v>
      </c>
      <c r="O661" s="15">
        <f t="shared" si="37"/>
        <v>3.36</v>
      </c>
      <c r="P661" s="15">
        <f>IF(G661,INDEX(monster!$J$2:$J$606,MATCH(skill!C661,monster!$A$2:$A$606,0)),Q661)</f>
        <v>1.2</v>
      </c>
      <c r="Q661" s="70"/>
      <c r="R661" s="33">
        <v>100</v>
      </c>
    </row>
    <row r="662" spans="1:18" s="38" customFormat="1" x14ac:dyDescent="0.15">
      <c r="A662" s="32">
        <v>10705</v>
      </c>
      <c r="B662" s="32" t="s">
        <v>1530</v>
      </c>
      <c r="C662" s="31">
        <v>1406</v>
      </c>
      <c r="D662" s="32">
        <v>0</v>
      </c>
      <c r="E662" s="15">
        <f>INDEX(monster!$H$2:$H$617,MATCH(skill!C662,monster!$A$2:$A$617,0))</f>
        <v>47.15</v>
      </c>
      <c r="F662" s="15">
        <f>INDEX(monster!$I$2:$I$617,MATCH(C662,monster!$A$2:$A$617,0))</f>
        <v>1.41</v>
      </c>
      <c r="G662" s="15" t="b">
        <v>1</v>
      </c>
      <c r="H662" s="31">
        <v>1</v>
      </c>
      <c r="I662" s="15">
        <f>IF(H662&gt;0,HLOOKUP(R662/100,数值规划表!$B$37:$AA$39,3),1)</f>
        <v>1.7999999999999998</v>
      </c>
      <c r="J662" s="31" t="s">
        <v>1625</v>
      </c>
      <c r="K662" s="15">
        <f>INDEX(数值规划表!$B$15:$B$18,MATCH(J662,攻击范围,0))</f>
        <v>1</v>
      </c>
      <c r="L662" s="30">
        <v>0.35</v>
      </c>
      <c r="M662" s="41">
        <v>0</v>
      </c>
      <c r="N662" s="15">
        <f t="shared" si="36"/>
        <v>30</v>
      </c>
      <c r="O662" s="15">
        <f t="shared" si="37"/>
        <v>0.89</v>
      </c>
      <c r="P662" s="15">
        <f>IF(G662,INDEX(monster!$J$2:$J$606,MATCH(skill!C662,monster!$A$2:$A$606,0)),Q662)</f>
        <v>5</v>
      </c>
      <c r="Q662" s="70">
        <v>5</v>
      </c>
      <c r="R662" s="33">
        <v>150</v>
      </c>
    </row>
    <row r="663" spans="1:18" s="38" customFormat="1" x14ac:dyDescent="0.15">
      <c r="A663" s="32">
        <v>10706</v>
      </c>
      <c r="B663" s="32" t="s">
        <v>1531</v>
      </c>
      <c r="C663" s="31">
        <v>1407</v>
      </c>
      <c r="D663" s="32">
        <v>1</v>
      </c>
      <c r="E663" s="15">
        <f>INDEX(monster!$H$2:$H$617,MATCH(skill!C663,monster!$A$2:$A$617,0))</f>
        <v>52.81</v>
      </c>
      <c r="F663" s="15">
        <f>INDEX(monster!$I$2:$I$617,MATCH(C663,monster!$A$2:$A$617,0))</f>
        <v>1.58</v>
      </c>
      <c r="G663" s="15" t="b">
        <v>1</v>
      </c>
      <c r="H663" s="31">
        <v>1</v>
      </c>
      <c r="I663" s="15">
        <f>IF(H663&gt;0,HLOOKUP(R663/100,数值规划表!$B$37:$AA$39,3),1)</f>
        <v>1.7999999999999998</v>
      </c>
      <c r="J663" s="31" t="s">
        <v>1625</v>
      </c>
      <c r="K663" s="15">
        <f>INDEX(数值规划表!$B$15:$B$18,MATCH(J663,攻击范围,0))</f>
        <v>1</v>
      </c>
      <c r="L663" s="70">
        <v>0.35</v>
      </c>
      <c r="M663" s="41">
        <v>0</v>
      </c>
      <c r="N663" s="15">
        <f t="shared" si="36"/>
        <v>33</v>
      </c>
      <c r="O663" s="15">
        <f t="shared" si="37"/>
        <v>1</v>
      </c>
      <c r="P663" s="15">
        <f>IF(G663,INDEX(monster!$J$2:$J$606,MATCH(skill!C663,monster!$A$2:$A$606,0)),Q663)</f>
        <v>5</v>
      </c>
      <c r="Q663" s="70">
        <v>5</v>
      </c>
      <c r="R663" s="33">
        <v>150</v>
      </c>
    </row>
    <row r="664" spans="1:18" s="38" customFormat="1" x14ac:dyDescent="0.15">
      <c r="A664" s="32">
        <v>10707</v>
      </c>
      <c r="B664" s="32" t="s">
        <v>1058</v>
      </c>
      <c r="C664" s="31">
        <v>1408</v>
      </c>
      <c r="D664" s="32">
        <v>2</v>
      </c>
      <c r="E664" s="15">
        <f>INDEX(monster!$H$2:$H$617,MATCH(skill!C664,monster!$A$2:$A$617,0))</f>
        <v>59.14</v>
      </c>
      <c r="F664" s="15">
        <f>INDEX(monster!$I$2:$I$617,MATCH(C664,monster!$A$2:$A$617,0))</f>
        <v>1.77</v>
      </c>
      <c r="G664" s="15" t="b">
        <v>1</v>
      </c>
      <c r="H664" s="31">
        <v>1</v>
      </c>
      <c r="I664" s="15">
        <f>IF(H664&gt;0,HLOOKUP(R664/100,数值规划表!$B$37:$AA$39,3),1)</f>
        <v>1.7999999999999998</v>
      </c>
      <c r="J664" s="31" t="s">
        <v>1625</v>
      </c>
      <c r="K664" s="15">
        <f>INDEX(数值规划表!$B$15:$B$18,MATCH(J664,攻击范围,0))</f>
        <v>1</v>
      </c>
      <c r="L664" s="70">
        <v>0.35</v>
      </c>
      <c r="M664" s="41">
        <v>0</v>
      </c>
      <c r="N664" s="15">
        <f t="shared" si="36"/>
        <v>37</v>
      </c>
      <c r="O664" s="15">
        <f t="shared" si="37"/>
        <v>1.1200000000000001</v>
      </c>
      <c r="P664" s="15">
        <f>IF(G664,INDEX(monster!$J$2:$J$606,MATCH(skill!C664,monster!$A$2:$A$606,0)),Q664)</f>
        <v>5</v>
      </c>
      <c r="Q664" s="70">
        <v>5</v>
      </c>
      <c r="R664" s="33">
        <v>150</v>
      </c>
    </row>
    <row r="665" spans="1:18" s="38" customFormat="1" x14ac:dyDescent="0.15">
      <c r="A665" s="32">
        <v>10708</v>
      </c>
      <c r="B665" s="32" t="s">
        <v>1059</v>
      </c>
      <c r="C665" s="31">
        <v>1409</v>
      </c>
      <c r="D665" s="32">
        <v>3</v>
      </c>
      <c r="E665" s="15">
        <f>INDEX(monster!$H$2:$H$617,MATCH(skill!C665,monster!$A$2:$A$617,0))</f>
        <v>66.239999999999995</v>
      </c>
      <c r="F665" s="15">
        <f>INDEX(monster!$I$2:$I$617,MATCH(C665,monster!$A$2:$A$617,0))</f>
        <v>1.99</v>
      </c>
      <c r="G665" s="15" t="b">
        <v>1</v>
      </c>
      <c r="H665" s="31">
        <v>1</v>
      </c>
      <c r="I665" s="15">
        <f>IF(H665&gt;0,HLOOKUP(R665/100,数值规划表!$B$37:$AA$39,3),1)</f>
        <v>1.7999999999999998</v>
      </c>
      <c r="J665" s="31" t="s">
        <v>1625</v>
      </c>
      <c r="K665" s="15">
        <f>INDEX(数值规划表!$B$15:$B$18,MATCH(J665,攻击范围,0))</f>
        <v>1</v>
      </c>
      <c r="L665" s="70">
        <v>0.35</v>
      </c>
      <c r="M665" s="41">
        <v>0</v>
      </c>
      <c r="N665" s="15">
        <f t="shared" si="36"/>
        <v>42</v>
      </c>
      <c r="O665" s="15">
        <f t="shared" si="37"/>
        <v>1.25</v>
      </c>
      <c r="P665" s="15">
        <f>IF(G665,INDEX(monster!$J$2:$J$606,MATCH(skill!C665,monster!$A$2:$A$606,0)),Q665)</f>
        <v>5</v>
      </c>
      <c r="Q665" s="70">
        <v>5</v>
      </c>
      <c r="R665" s="33">
        <v>150</v>
      </c>
    </row>
    <row r="666" spans="1:18" s="38" customFormat="1" x14ac:dyDescent="0.15">
      <c r="A666" s="32">
        <v>10709</v>
      </c>
      <c r="B666" s="32" t="s">
        <v>1060</v>
      </c>
      <c r="C666" s="31">
        <v>1410</v>
      </c>
      <c r="D666" s="32">
        <v>4</v>
      </c>
      <c r="E666" s="15">
        <f>INDEX(monster!$H$2:$H$617,MATCH(skill!C666,monster!$A$2:$A$617,0))</f>
        <v>74.19</v>
      </c>
      <c r="F666" s="15">
        <f>INDEX(monster!$I$2:$I$617,MATCH(C666,monster!$A$2:$A$617,0))</f>
        <v>2.23</v>
      </c>
      <c r="G666" s="15" t="b">
        <v>1</v>
      </c>
      <c r="H666" s="31">
        <v>1</v>
      </c>
      <c r="I666" s="15">
        <f>IF(H666&gt;0,HLOOKUP(R666/100,数值规划表!$B$37:$AA$39,3),1)</f>
        <v>1.7999999999999998</v>
      </c>
      <c r="J666" s="31" t="s">
        <v>1625</v>
      </c>
      <c r="K666" s="15">
        <f>INDEX(数值规划表!$B$15:$B$18,MATCH(J666,攻击范围,0))</f>
        <v>1</v>
      </c>
      <c r="L666" s="70">
        <v>0.35</v>
      </c>
      <c r="M666" s="41">
        <v>0</v>
      </c>
      <c r="N666" s="15">
        <f t="shared" si="36"/>
        <v>47</v>
      </c>
      <c r="O666" s="15">
        <f t="shared" si="37"/>
        <v>1.4</v>
      </c>
      <c r="P666" s="15">
        <f>IF(G666,INDEX(monster!$J$2:$J$606,MATCH(skill!C666,monster!$A$2:$A$606,0)),Q666)</f>
        <v>5</v>
      </c>
      <c r="Q666" s="70">
        <v>5</v>
      </c>
      <c r="R666" s="33">
        <v>150</v>
      </c>
    </row>
    <row r="667" spans="1:18" s="38" customFormat="1" x14ac:dyDescent="0.15">
      <c r="A667" s="32">
        <v>10710</v>
      </c>
      <c r="B667" s="32" t="s">
        <v>1061</v>
      </c>
      <c r="C667" s="31">
        <v>1411</v>
      </c>
      <c r="D667" s="32">
        <v>5</v>
      </c>
      <c r="E667" s="15">
        <f>INDEX(monster!$H$2:$H$617,MATCH(skill!C667,monster!$A$2:$A$617,0))</f>
        <v>83.09</v>
      </c>
      <c r="F667" s="15">
        <f>INDEX(monster!$I$2:$I$617,MATCH(C667,monster!$A$2:$A$617,0))</f>
        <v>2.4900000000000002</v>
      </c>
      <c r="G667" s="15" t="b">
        <v>1</v>
      </c>
      <c r="H667" s="31">
        <v>1</v>
      </c>
      <c r="I667" s="15">
        <f>IF(H667&gt;0,HLOOKUP(R667/100,数值规划表!$B$37:$AA$39,3),1)</f>
        <v>1.7999999999999998</v>
      </c>
      <c r="J667" s="31" t="s">
        <v>1625</v>
      </c>
      <c r="K667" s="15">
        <f>INDEX(数值规划表!$B$15:$B$18,MATCH(J667,攻击范围,0))</f>
        <v>1</v>
      </c>
      <c r="L667" s="70">
        <v>0.35</v>
      </c>
      <c r="M667" s="41">
        <v>0</v>
      </c>
      <c r="N667" s="15">
        <f t="shared" si="36"/>
        <v>52</v>
      </c>
      <c r="O667" s="15">
        <f t="shared" si="37"/>
        <v>1.57</v>
      </c>
      <c r="P667" s="15">
        <f>IF(G667,INDEX(monster!$J$2:$J$606,MATCH(skill!C667,monster!$A$2:$A$606,0)),Q667)</f>
        <v>5</v>
      </c>
      <c r="Q667" s="70">
        <v>5</v>
      </c>
      <c r="R667" s="33">
        <v>150</v>
      </c>
    </row>
    <row r="668" spans="1:18" s="38" customFormat="1" x14ac:dyDescent="0.15">
      <c r="A668" s="32">
        <v>10711</v>
      </c>
      <c r="B668" s="32" t="s">
        <v>1062</v>
      </c>
      <c r="C668" s="31">
        <v>1412</v>
      </c>
      <c r="D668" s="32">
        <v>6</v>
      </c>
      <c r="E668" s="15">
        <f>INDEX(monster!$H$2:$H$617,MATCH(skill!C668,monster!$A$2:$A$617,0))</f>
        <v>93.07</v>
      </c>
      <c r="F668" s="15">
        <f>INDEX(monster!$I$2:$I$617,MATCH(C668,monster!$A$2:$A$617,0))</f>
        <v>2.79</v>
      </c>
      <c r="G668" s="15" t="b">
        <v>1</v>
      </c>
      <c r="H668" s="31">
        <v>1</v>
      </c>
      <c r="I668" s="15">
        <f>IF(H668&gt;0,HLOOKUP(R668/100,数值规划表!$B$37:$AA$39,3),1)</f>
        <v>1.7999999999999998</v>
      </c>
      <c r="J668" s="31" t="s">
        <v>1625</v>
      </c>
      <c r="K668" s="15">
        <f>INDEX(数值规划表!$B$15:$B$18,MATCH(J668,攻击范围,0))</f>
        <v>1</v>
      </c>
      <c r="L668" s="70">
        <v>0.35</v>
      </c>
      <c r="M668" s="41">
        <v>0</v>
      </c>
      <c r="N668" s="15">
        <f t="shared" si="36"/>
        <v>59</v>
      </c>
      <c r="O668" s="15">
        <f t="shared" si="37"/>
        <v>1.76</v>
      </c>
      <c r="P668" s="15">
        <f>IF(G668,INDEX(monster!$J$2:$J$606,MATCH(skill!C668,monster!$A$2:$A$606,0)),Q668)</f>
        <v>5</v>
      </c>
      <c r="Q668" s="70">
        <v>5</v>
      </c>
      <c r="R668" s="33">
        <v>150</v>
      </c>
    </row>
    <row r="669" spans="1:18" s="38" customFormat="1" x14ac:dyDescent="0.15">
      <c r="A669" s="32">
        <v>10712</v>
      </c>
      <c r="B669" s="32" t="s">
        <v>1063</v>
      </c>
      <c r="C669" s="31">
        <v>1413</v>
      </c>
      <c r="D669" s="32">
        <v>7</v>
      </c>
      <c r="E669" s="15">
        <f>INDEX(monster!$H$2:$H$617,MATCH(skill!C669,monster!$A$2:$A$617,0))</f>
        <v>104.23</v>
      </c>
      <c r="F669" s="15">
        <f>INDEX(monster!$I$2:$I$617,MATCH(C669,monster!$A$2:$A$617,0))</f>
        <v>3.13</v>
      </c>
      <c r="G669" s="15" t="b">
        <v>1</v>
      </c>
      <c r="H669" s="31">
        <v>1</v>
      </c>
      <c r="I669" s="15">
        <f>IF(H669&gt;0,HLOOKUP(R669/100,数值规划表!$B$37:$AA$39,3),1)</f>
        <v>1.7999999999999998</v>
      </c>
      <c r="J669" s="31" t="s">
        <v>1625</v>
      </c>
      <c r="K669" s="15">
        <f>INDEX(数值规划表!$B$15:$B$18,MATCH(J669,攻击范围,0))</f>
        <v>1</v>
      </c>
      <c r="L669" s="70">
        <v>0.35</v>
      </c>
      <c r="M669" s="41">
        <v>0</v>
      </c>
      <c r="N669" s="15">
        <f t="shared" si="36"/>
        <v>66</v>
      </c>
      <c r="O669" s="15">
        <f t="shared" si="37"/>
        <v>1.97</v>
      </c>
      <c r="P669" s="15">
        <f>IF(G669,INDEX(monster!$J$2:$J$606,MATCH(skill!C669,monster!$A$2:$A$606,0)),Q669)</f>
        <v>5</v>
      </c>
      <c r="Q669" s="70">
        <v>5</v>
      </c>
      <c r="R669" s="33">
        <v>150</v>
      </c>
    </row>
    <row r="670" spans="1:18" s="38" customFormat="1" x14ac:dyDescent="0.15">
      <c r="A670" s="32">
        <v>10713</v>
      </c>
      <c r="B670" s="32" t="s">
        <v>1064</v>
      </c>
      <c r="C670" s="31">
        <v>1414</v>
      </c>
      <c r="D670" s="32">
        <v>8</v>
      </c>
      <c r="E670" s="15">
        <f>INDEX(monster!$H$2:$H$617,MATCH(skill!C670,monster!$A$2:$A$617,0))</f>
        <v>116.74</v>
      </c>
      <c r="F670" s="15">
        <f>INDEX(monster!$I$2:$I$617,MATCH(C670,monster!$A$2:$A$617,0))</f>
        <v>3.5</v>
      </c>
      <c r="G670" s="15" t="b">
        <v>1</v>
      </c>
      <c r="H670" s="31">
        <v>1</v>
      </c>
      <c r="I670" s="15">
        <f>IF(H670&gt;0,HLOOKUP(R670/100,数值规划表!$B$37:$AA$39,3),1)</f>
        <v>1.7999999999999998</v>
      </c>
      <c r="J670" s="31" t="s">
        <v>1625</v>
      </c>
      <c r="K670" s="15">
        <f>INDEX(数值规划表!$B$15:$B$18,MATCH(J670,攻击范围,0))</f>
        <v>1</v>
      </c>
      <c r="L670" s="70">
        <v>0.35</v>
      </c>
      <c r="M670" s="41">
        <v>0</v>
      </c>
      <c r="N670" s="15">
        <f t="shared" si="36"/>
        <v>74</v>
      </c>
      <c r="O670" s="15">
        <f t="shared" si="37"/>
        <v>2.21</v>
      </c>
      <c r="P670" s="15">
        <f>IF(G670,INDEX(monster!$J$2:$J$606,MATCH(skill!C670,monster!$A$2:$A$606,0)),Q670)</f>
        <v>5</v>
      </c>
      <c r="Q670" s="70">
        <v>5</v>
      </c>
      <c r="R670" s="33">
        <v>150</v>
      </c>
    </row>
    <row r="671" spans="1:18" s="38" customFormat="1" x14ac:dyDescent="0.15">
      <c r="A671" s="32">
        <v>10714</v>
      </c>
      <c r="B671" s="32" t="s">
        <v>1065</v>
      </c>
      <c r="C671" s="31">
        <v>1415</v>
      </c>
      <c r="D671" s="32">
        <v>9</v>
      </c>
      <c r="E671" s="15">
        <f>INDEX(monster!$H$2:$H$617,MATCH(skill!C671,monster!$A$2:$A$617,0))</f>
        <v>130.75</v>
      </c>
      <c r="F671" s="15">
        <f>INDEX(monster!$I$2:$I$617,MATCH(C671,monster!$A$2:$A$617,0))</f>
        <v>3.92</v>
      </c>
      <c r="G671" s="15" t="b">
        <v>1</v>
      </c>
      <c r="H671" s="31">
        <v>1</v>
      </c>
      <c r="I671" s="15">
        <f>IF(H671&gt;0,HLOOKUP(R671/100,数值规划表!$B$37:$AA$39,3),1)</f>
        <v>1.7999999999999998</v>
      </c>
      <c r="J671" s="31" t="s">
        <v>1625</v>
      </c>
      <c r="K671" s="15">
        <f>INDEX(数值规划表!$B$15:$B$18,MATCH(J671,攻击范围,0))</f>
        <v>1</v>
      </c>
      <c r="L671" s="70">
        <v>0.35</v>
      </c>
      <c r="M671" s="41">
        <v>0</v>
      </c>
      <c r="N671" s="15">
        <f t="shared" si="36"/>
        <v>82</v>
      </c>
      <c r="O671" s="15">
        <f t="shared" si="37"/>
        <v>2.4700000000000002</v>
      </c>
      <c r="P671" s="15">
        <f>IF(G671,INDEX(monster!$J$2:$J$606,MATCH(skill!C671,monster!$A$2:$A$606,0)),Q671)</f>
        <v>5</v>
      </c>
      <c r="Q671" s="70">
        <v>5</v>
      </c>
      <c r="R671" s="33">
        <v>150</v>
      </c>
    </row>
    <row r="672" spans="1:18" s="38" customFormat="1" x14ac:dyDescent="0.15">
      <c r="A672" s="32">
        <v>10715</v>
      </c>
      <c r="B672" s="32" t="s">
        <v>1066</v>
      </c>
      <c r="C672" s="31">
        <v>1416</v>
      </c>
      <c r="D672" s="32">
        <v>10</v>
      </c>
      <c r="E672" s="15">
        <f>INDEX(monster!$H$2:$H$617,MATCH(skill!C672,monster!$A$2:$A$617,0))</f>
        <v>146.44</v>
      </c>
      <c r="F672" s="15">
        <f>INDEX(monster!$I$2:$I$617,MATCH(C672,monster!$A$2:$A$617,0))</f>
        <v>4.3899999999999997</v>
      </c>
      <c r="G672" s="15" t="b">
        <v>1</v>
      </c>
      <c r="H672" s="31">
        <v>1</v>
      </c>
      <c r="I672" s="15">
        <f>IF(H672&gt;0,HLOOKUP(R672/100,数值规划表!$B$37:$AA$39,3),1)</f>
        <v>1.7999999999999998</v>
      </c>
      <c r="J672" s="31" t="s">
        <v>1625</v>
      </c>
      <c r="K672" s="15">
        <f>INDEX(数值规划表!$B$15:$B$18,MATCH(J672,攻击范围,0))</f>
        <v>1</v>
      </c>
      <c r="L672" s="70">
        <v>0.35</v>
      </c>
      <c r="M672" s="41">
        <v>0</v>
      </c>
      <c r="N672" s="15">
        <f t="shared" si="36"/>
        <v>92</v>
      </c>
      <c r="O672" s="15">
        <f t="shared" si="37"/>
        <v>2.77</v>
      </c>
      <c r="P672" s="15">
        <f>IF(G672,INDEX(monster!$J$2:$J$606,MATCH(skill!C672,monster!$A$2:$A$606,0)),Q672)</f>
        <v>5</v>
      </c>
      <c r="Q672" s="70">
        <v>5</v>
      </c>
      <c r="R672" s="33">
        <v>150</v>
      </c>
    </row>
    <row r="673" spans="1:18" x14ac:dyDescent="0.15">
      <c r="A673" s="53">
        <v>10716</v>
      </c>
      <c r="B673" s="53" t="s">
        <v>2660</v>
      </c>
      <c r="C673" s="31">
        <v>1406</v>
      </c>
      <c r="D673" s="32">
        <v>0</v>
      </c>
      <c r="E673" s="15">
        <f>INDEX(monster!$H$2:$H$617,MATCH(skill!C673,monster!$A$2:$A$617,0))</f>
        <v>47.15</v>
      </c>
      <c r="F673" s="15">
        <f>INDEX(monster!$I$2:$I$617,MATCH(C673,monster!$A$2:$A$617,0))</f>
        <v>1.41</v>
      </c>
      <c r="G673" s="15" t="b">
        <f t="shared" ref="G673:G732" si="38">ISNUMBER(FIND("普攻",B673))</f>
        <v>0</v>
      </c>
      <c r="H673" s="31">
        <v>0</v>
      </c>
      <c r="I673" s="15">
        <f>IF(H673&gt;0,HLOOKUP(R673/100,数值规划表!$B$37:$AA$39,3),1)</f>
        <v>1</v>
      </c>
      <c r="J673" s="31" t="s">
        <v>1625</v>
      </c>
      <c r="K673" s="15">
        <f>INDEX(数值规划表!$B$15:$B$18,MATCH(J673,攻击范围,0))</f>
        <v>1</v>
      </c>
      <c r="L673" s="30">
        <v>1</v>
      </c>
      <c r="M673" s="41">
        <v>0</v>
      </c>
      <c r="N673" s="15">
        <f t="shared" si="36"/>
        <v>47</v>
      </c>
      <c r="O673" s="15">
        <f t="shared" si="37"/>
        <v>1.41</v>
      </c>
      <c r="P673" s="15">
        <f>IF(G673,INDEX(monster!$J$2:$J$606,MATCH(skill!C673,monster!$A$2:$A$606,0)),Q673)</f>
        <v>6</v>
      </c>
      <c r="Q673" s="70">
        <v>6</v>
      </c>
      <c r="R673" s="33">
        <v>150</v>
      </c>
    </row>
    <row r="674" spans="1:18" x14ac:dyDescent="0.15">
      <c r="A674" s="53">
        <v>10717</v>
      </c>
      <c r="B674" s="53" t="s">
        <v>2661</v>
      </c>
      <c r="C674" s="31">
        <v>1407</v>
      </c>
      <c r="D674" s="32">
        <v>1</v>
      </c>
      <c r="E674" s="15">
        <f>INDEX(monster!$H$2:$H$617,MATCH(skill!C674,monster!$A$2:$A$617,0))</f>
        <v>52.81</v>
      </c>
      <c r="F674" s="15">
        <f>INDEX(monster!$I$2:$I$617,MATCH(C674,monster!$A$2:$A$617,0))</f>
        <v>1.58</v>
      </c>
      <c r="G674" s="15" t="b">
        <f t="shared" si="38"/>
        <v>0</v>
      </c>
      <c r="H674" s="31">
        <v>0</v>
      </c>
      <c r="I674" s="15">
        <f>IF(H674&gt;0,HLOOKUP(R674/100,数值规划表!$B$37:$AA$39,3),1)</f>
        <v>1</v>
      </c>
      <c r="J674" s="31" t="s">
        <v>1625</v>
      </c>
      <c r="K674" s="15">
        <f>INDEX(数值规划表!$B$15:$B$18,MATCH(J674,攻击范围,0))</f>
        <v>1</v>
      </c>
      <c r="L674" s="30">
        <v>1</v>
      </c>
      <c r="M674" s="41">
        <v>0</v>
      </c>
      <c r="N674" s="15">
        <f t="shared" si="36"/>
        <v>53</v>
      </c>
      <c r="O674" s="15">
        <f t="shared" si="37"/>
        <v>1.58</v>
      </c>
      <c r="P674" s="15">
        <f>IF(G674,INDEX(monster!$J$2:$J$606,MATCH(skill!C674,monster!$A$2:$A$606,0)),Q674)</f>
        <v>6</v>
      </c>
      <c r="Q674" s="70">
        <v>6</v>
      </c>
      <c r="R674" s="33">
        <v>150</v>
      </c>
    </row>
    <row r="675" spans="1:18" x14ac:dyDescent="0.15">
      <c r="A675" s="53">
        <v>10718</v>
      </c>
      <c r="B675" s="53" t="s">
        <v>2662</v>
      </c>
      <c r="C675" s="31">
        <v>1408</v>
      </c>
      <c r="D675" s="32">
        <v>2</v>
      </c>
      <c r="E675" s="15">
        <f>INDEX(monster!$H$2:$H$617,MATCH(skill!C675,monster!$A$2:$A$617,0))</f>
        <v>59.14</v>
      </c>
      <c r="F675" s="15">
        <f>INDEX(monster!$I$2:$I$617,MATCH(C675,monster!$A$2:$A$617,0))</f>
        <v>1.77</v>
      </c>
      <c r="G675" s="15" t="b">
        <f t="shared" si="38"/>
        <v>0</v>
      </c>
      <c r="H675" s="31">
        <v>0</v>
      </c>
      <c r="I675" s="15">
        <f>IF(H675&gt;0,HLOOKUP(R675/100,数值规划表!$B$37:$AA$39,3),1)</f>
        <v>1</v>
      </c>
      <c r="J675" s="31" t="s">
        <v>1625</v>
      </c>
      <c r="K675" s="15">
        <f>INDEX(数值规划表!$B$15:$B$18,MATCH(J675,攻击范围,0))</f>
        <v>1</v>
      </c>
      <c r="L675" s="30">
        <v>1</v>
      </c>
      <c r="M675" s="41">
        <v>0</v>
      </c>
      <c r="N675" s="15">
        <f t="shared" si="36"/>
        <v>59</v>
      </c>
      <c r="O675" s="15">
        <f t="shared" si="37"/>
        <v>1.77</v>
      </c>
      <c r="P675" s="15">
        <f>IF(G675,INDEX(monster!$J$2:$J$606,MATCH(skill!C675,monster!$A$2:$A$606,0)),Q675)</f>
        <v>6</v>
      </c>
      <c r="Q675" s="70">
        <v>6</v>
      </c>
      <c r="R675" s="33">
        <v>150</v>
      </c>
    </row>
    <row r="676" spans="1:18" x14ac:dyDescent="0.15">
      <c r="A676" s="53">
        <v>10719</v>
      </c>
      <c r="B676" s="53" t="s">
        <v>2663</v>
      </c>
      <c r="C676" s="31">
        <v>1409</v>
      </c>
      <c r="D676" s="32">
        <v>3</v>
      </c>
      <c r="E676" s="15">
        <f>INDEX(monster!$H$2:$H$617,MATCH(skill!C676,monster!$A$2:$A$617,0))</f>
        <v>66.239999999999995</v>
      </c>
      <c r="F676" s="15">
        <f>INDEX(monster!$I$2:$I$617,MATCH(C676,monster!$A$2:$A$617,0))</f>
        <v>1.99</v>
      </c>
      <c r="G676" s="15" t="b">
        <f t="shared" si="38"/>
        <v>0</v>
      </c>
      <c r="H676" s="31">
        <v>0</v>
      </c>
      <c r="I676" s="15">
        <f>IF(H676&gt;0,HLOOKUP(R676/100,数值规划表!$B$37:$AA$39,3),1)</f>
        <v>1</v>
      </c>
      <c r="J676" s="31" t="s">
        <v>1625</v>
      </c>
      <c r="K676" s="15">
        <f>INDEX(数值规划表!$B$15:$B$18,MATCH(J676,攻击范围,0))</f>
        <v>1</v>
      </c>
      <c r="L676" s="30">
        <v>1</v>
      </c>
      <c r="M676" s="41">
        <v>0</v>
      </c>
      <c r="N676" s="15">
        <f t="shared" si="36"/>
        <v>66</v>
      </c>
      <c r="O676" s="15">
        <f t="shared" si="37"/>
        <v>1.99</v>
      </c>
      <c r="P676" s="15">
        <f>IF(G676,INDEX(monster!$J$2:$J$606,MATCH(skill!C676,monster!$A$2:$A$606,0)),Q676)</f>
        <v>6</v>
      </c>
      <c r="Q676" s="70">
        <v>6</v>
      </c>
      <c r="R676" s="33">
        <v>150</v>
      </c>
    </row>
    <row r="677" spans="1:18" x14ac:dyDescent="0.15">
      <c r="A677" s="53">
        <v>10720</v>
      </c>
      <c r="B677" s="53" t="s">
        <v>2664</v>
      </c>
      <c r="C677" s="31">
        <v>1410</v>
      </c>
      <c r="D677" s="32">
        <v>4</v>
      </c>
      <c r="E677" s="15">
        <f>INDEX(monster!$H$2:$H$617,MATCH(skill!C677,monster!$A$2:$A$617,0))</f>
        <v>74.19</v>
      </c>
      <c r="F677" s="15">
        <f>INDEX(monster!$I$2:$I$617,MATCH(C677,monster!$A$2:$A$617,0))</f>
        <v>2.23</v>
      </c>
      <c r="G677" s="15" t="b">
        <f t="shared" si="38"/>
        <v>0</v>
      </c>
      <c r="H677" s="31">
        <v>0</v>
      </c>
      <c r="I677" s="15">
        <f>IF(H677&gt;0,HLOOKUP(R677/100,数值规划表!$B$37:$AA$39,3),1)</f>
        <v>1</v>
      </c>
      <c r="J677" s="31" t="s">
        <v>1625</v>
      </c>
      <c r="K677" s="15">
        <f>INDEX(数值规划表!$B$15:$B$18,MATCH(J677,攻击范围,0))</f>
        <v>1</v>
      </c>
      <c r="L677" s="30">
        <v>1</v>
      </c>
      <c r="M677" s="41">
        <v>0</v>
      </c>
      <c r="N677" s="15">
        <f t="shared" si="36"/>
        <v>74</v>
      </c>
      <c r="O677" s="15">
        <f t="shared" si="37"/>
        <v>2.23</v>
      </c>
      <c r="P677" s="15">
        <f>IF(G677,INDEX(monster!$J$2:$J$606,MATCH(skill!C677,monster!$A$2:$A$606,0)),Q677)</f>
        <v>6</v>
      </c>
      <c r="Q677" s="70">
        <v>6</v>
      </c>
      <c r="R677" s="33">
        <v>150</v>
      </c>
    </row>
    <row r="678" spans="1:18" x14ac:dyDescent="0.15">
      <c r="A678" s="53">
        <v>10721</v>
      </c>
      <c r="B678" s="53" t="s">
        <v>2665</v>
      </c>
      <c r="C678" s="31">
        <v>1411</v>
      </c>
      <c r="D678" s="32">
        <v>5</v>
      </c>
      <c r="E678" s="15">
        <f>INDEX(monster!$H$2:$H$617,MATCH(skill!C678,monster!$A$2:$A$617,0))</f>
        <v>83.09</v>
      </c>
      <c r="F678" s="15">
        <f>INDEX(monster!$I$2:$I$617,MATCH(C678,monster!$A$2:$A$617,0))</f>
        <v>2.4900000000000002</v>
      </c>
      <c r="G678" s="15" t="b">
        <f t="shared" si="38"/>
        <v>0</v>
      </c>
      <c r="H678" s="31">
        <v>0</v>
      </c>
      <c r="I678" s="15">
        <f>IF(H678&gt;0,HLOOKUP(R678/100,数值规划表!$B$37:$AA$39,3),1)</f>
        <v>1</v>
      </c>
      <c r="J678" s="31" t="s">
        <v>1625</v>
      </c>
      <c r="K678" s="15">
        <f>INDEX(数值规划表!$B$15:$B$18,MATCH(J678,攻击范围,0))</f>
        <v>1</v>
      </c>
      <c r="L678" s="30">
        <v>1</v>
      </c>
      <c r="M678" s="41">
        <v>0</v>
      </c>
      <c r="N678" s="15">
        <f t="shared" si="36"/>
        <v>83</v>
      </c>
      <c r="O678" s="15">
        <f t="shared" si="37"/>
        <v>2.4900000000000002</v>
      </c>
      <c r="P678" s="15">
        <f>IF(G678,INDEX(monster!$J$2:$J$606,MATCH(skill!C678,monster!$A$2:$A$606,0)),Q678)</f>
        <v>6</v>
      </c>
      <c r="Q678" s="70">
        <v>6</v>
      </c>
      <c r="R678" s="33">
        <v>150</v>
      </c>
    </row>
    <row r="679" spans="1:18" x14ac:dyDescent="0.15">
      <c r="A679" s="53">
        <v>10722</v>
      </c>
      <c r="B679" s="53" t="s">
        <v>2666</v>
      </c>
      <c r="C679" s="31">
        <v>1412</v>
      </c>
      <c r="D679" s="32">
        <v>6</v>
      </c>
      <c r="E679" s="15">
        <f>INDEX(monster!$H$2:$H$617,MATCH(skill!C679,monster!$A$2:$A$617,0))</f>
        <v>93.07</v>
      </c>
      <c r="F679" s="15">
        <f>INDEX(monster!$I$2:$I$617,MATCH(C679,monster!$A$2:$A$617,0))</f>
        <v>2.79</v>
      </c>
      <c r="G679" s="15" t="b">
        <f t="shared" si="38"/>
        <v>0</v>
      </c>
      <c r="H679" s="31">
        <v>0</v>
      </c>
      <c r="I679" s="15">
        <f>IF(H679&gt;0,HLOOKUP(R679/100,数值规划表!$B$37:$AA$39,3),1)</f>
        <v>1</v>
      </c>
      <c r="J679" s="31" t="s">
        <v>1625</v>
      </c>
      <c r="K679" s="15">
        <f>INDEX(数值规划表!$B$15:$B$18,MATCH(J679,攻击范围,0))</f>
        <v>1</v>
      </c>
      <c r="L679" s="30">
        <v>1</v>
      </c>
      <c r="M679" s="41">
        <v>0</v>
      </c>
      <c r="N679" s="15">
        <f t="shared" si="36"/>
        <v>93</v>
      </c>
      <c r="O679" s="15">
        <f t="shared" si="37"/>
        <v>2.79</v>
      </c>
      <c r="P679" s="15">
        <f>IF(G679,INDEX(monster!$J$2:$J$606,MATCH(skill!C679,monster!$A$2:$A$606,0)),Q679)</f>
        <v>6</v>
      </c>
      <c r="Q679" s="70">
        <v>6</v>
      </c>
      <c r="R679" s="33">
        <v>150</v>
      </c>
    </row>
    <row r="680" spans="1:18" x14ac:dyDescent="0.15">
      <c r="A680" s="53">
        <v>10723</v>
      </c>
      <c r="B680" s="53" t="s">
        <v>2667</v>
      </c>
      <c r="C680" s="31">
        <v>1413</v>
      </c>
      <c r="D680" s="32">
        <v>7</v>
      </c>
      <c r="E680" s="15">
        <f>INDEX(monster!$H$2:$H$617,MATCH(skill!C680,monster!$A$2:$A$617,0))</f>
        <v>104.23</v>
      </c>
      <c r="F680" s="15">
        <f>INDEX(monster!$I$2:$I$617,MATCH(C680,monster!$A$2:$A$617,0))</f>
        <v>3.13</v>
      </c>
      <c r="G680" s="15" t="b">
        <f t="shared" si="38"/>
        <v>0</v>
      </c>
      <c r="H680" s="31">
        <v>0</v>
      </c>
      <c r="I680" s="15">
        <f>IF(H680&gt;0,HLOOKUP(R680/100,数值规划表!$B$37:$AA$39,3),1)</f>
        <v>1</v>
      </c>
      <c r="J680" s="31" t="s">
        <v>1625</v>
      </c>
      <c r="K680" s="15">
        <f>INDEX(数值规划表!$B$15:$B$18,MATCH(J680,攻击范围,0))</f>
        <v>1</v>
      </c>
      <c r="L680" s="30">
        <v>1</v>
      </c>
      <c r="M680" s="41">
        <v>0</v>
      </c>
      <c r="N680" s="15">
        <f t="shared" si="36"/>
        <v>104</v>
      </c>
      <c r="O680" s="15">
        <f t="shared" si="37"/>
        <v>3.13</v>
      </c>
      <c r="P680" s="15">
        <f>IF(G680,INDEX(monster!$J$2:$J$606,MATCH(skill!C680,monster!$A$2:$A$606,0)),Q680)</f>
        <v>6</v>
      </c>
      <c r="Q680" s="70">
        <v>6</v>
      </c>
      <c r="R680" s="33">
        <v>150</v>
      </c>
    </row>
    <row r="681" spans="1:18" x14ac:dyDescent="0.15">
      <c r="A681" s="53">
        <v>10724</v>
      </c>
      <c r="B681" s="53" t="s">
        <v>2668</v>
      </c>
      <c r="C681" s="31">
        <v>1414</v>
      </c>
      <c r="D681" s="32">
        <v>8</v>
      </c>
      <c r="E681" s="15">
        <f>INDEX(monster!$H$2:$H$617,MATCH(skill!C681,monster!$A$2:$A$617,0))</f>
        <v>116.74</v>
      </c>
      <c r="F681" s="15">
        <f>INDEX(monster!$I$2:$I$617,MATCH(C681,monster!$A$2:$A$617,0))</f>
        <v>3.5</v>
      </c>
      <c r="G681" s="15" t="b">
        <f t="shared" si="38"/>
        <v>0</v>
      </c>
      <c r="H681" s="31">
        <v>0</v>
      </c>
      <c r="I681" s="15">
        <f>IF(H681&gt;0,HLOOKUP(R681/100,数值规划表!$B$37:$AA$39,3),1)</f>
        <v>1</v>
      </c>
      <c r="J681" s="31" t="s">
        <v>1625</v>
      </c>
      <c r="K681" s="15">
        <f>INDEX(数值规划表!$B$15:$B$18,MATCH(J681,攻击范围,0))</f>
        <v>1</v>
      </c>
      <c r="L681" s="30">
        <v>1</v>
      </c>
      <c r="M681" s="41">
        <v>0</v>
      </c>
      <c r="N681" s="15">
        <f t="shared" si="36"/>
        <v>117</v>
      </c>
      <c r="O681" s="15">
        <f t="shared" si="37"/>
        <v>3.5</v>
      </c>
      <c r="P681" s="15">
        <f>IF(G681,INDEX(monster!$J$2:$J$606,MATCH(skill!C681,monster!$A$2:$A$606,0)),Q681)</f>
        <v>6</v>
      </c>
      <c r="Q681" s="70">
        <v>6</v>
      </c>
      <c r="R681" s="33">
        <v>150</v>
      </c>
    </row>
    <row r="682" spans="1:18" x14ac:dyDescent="0.15">
      <c r="A682" s="53">
        <v>10725</v>
      </c>
      <c r="B682" s="53" t="s">
        <v>2669</v>
      </c>
      <c r="C682" s="31">
        <v>1415</v>
      </c>
      <c r="D682" s="32">
        <v>9</v>
      </c>
      <c r="E682" s="15">
        <f>INDEX(monster!$H$2:$H$617,MATCH(skill!C682,monster!$A$2:$A$617,0))</f>
        <v>130.75</v>
      </c>
      <c r="F682" s="15">
        <f>INDEX(monster!$I$2:$I$617,MATCH(C682,monster!$A$2:$A$617,0))</f>
        <v>3.92</v>
      </c>
      <c r="G682" s="15" t="b">
        <f t="shared" si="38"/>
        <v>0</v>
      </c>
      <c r="H682" s="31">
        <v>0</v>
      </c>
      <c r="I682" s="15">
        <f>IF(H682&gt;0,HLOOKUP(R682/100,数值规划表!$B$37:$AA$39,3),1)</f>
        <v>1</v>
      </c>
      <c r="J682" s="31" t="s">
        <v>1625</v>
      </c>
      <c r="K682" s="15">
        <f>INDEX(数值规划表!$B$15:$B$18,MATCH(J682,攻击范围,0))</f>
        <v>1</v>
      </c>
      <c r="L682" s="30">
        <v>1</v>
      </c>
      <c r="M682" s="41">
        <v>0</v>
      </c>
      <c r="N682" s="15">
        <f t="shared" si="36"/>
        <v>131</v>
      </c>
      <c r="O682" s="15">
        <f t="shared" si="37"/>
        <v>3.92</v>
      </c>
      <c r="P682" s="15">
        <f>IF(G682,INDEX(monster!$J$2:$J$606,MATCH(skill!C682,monster!$A$2:$A$606,0)),Q682)</f>
        <v>6</v>
      </c>
      <c r="Q682" s="70">
        <v>6</v>
      </c>
      <c r="R682" s="33">
        <v>150</v>
      </c>
    </row>
    <row r="683" spans="1:18" x14ac:dyDescent="0.15">
      <c r="A683" s="53">
        <v>10726</v>
      </c>
      <c r="B683" s="53" t="s">
        <v>2670</v>
      </c>
      <c r="C683" s="31">
        <v>1416</v>
      </c>
      <c r="D683" s="32">
        <v>10</v>
      </c>
      <c r="E683" s="15">
        <f>INDEX(monster!$H$2:$H$617,MATCH(skill!C683,monster!$A$2:$A$617,0))</f>
        <v>146.44</v>
      </c>
      <c r="F683" s="15">
        <f>INDEX(monster!$I$2:$I$617,MATCH(C683,monster!$A$2:$A$617,0))</f>
        <v>4.3899999999999997</v>
      </c>
      <c r="G683" s="15" t="b">
        <f t="shared" si="38"/>
        <v>0</v>
      </c>
      <c r="H683" s="31">
        <v>0</v>
      </c>
      <c r="I683" s="15">
        <f>IF(H683&gt;0,HLOOKUP(R683/100,数值规划表!$B$37:$AA$39,3),1)</f>
        <v>1</v>
      </c>
      <c r="J683" s="31" t="s">
        <v>1625</v>
      </c>
      <c r="K683" s="15">
        <f>INDEX(数值规划表!$B$15:$B$18,MATCH(J683,攻击范围,0))</f>
        <v>1</v>
      </c>
      <c r="L683" s="30">
        <v>1</v>
      </c>
      <c r="M683" s="41">
        <v>0</v>
      </c>
      <c r="N683" s="15">
        <f t="shared" si="36"/>
        <v>146</v>
      </c>
      <c r="O683" s="15">
        <f t="shared" si="37"/>
        <v>4.3899999999999997</v>
      </c>
      <c r="P683" s="15">
        <f>IF(G683,INDEX(monster!$J$2:$J$606,MATCH(skill!C683,monster!$A$2:$A$606,0)),Q683)</f>
        <v>6</v>
      </c>
      <c r="Q683" s="70">
        <v>6</v>
      </c>
      <c r="R683" s="33">
        <v>150</v>
      </c>
    </row>
    <row r="684" spans="1:18" s="38" customFormat="1" x14ac:dyDescent="0.15">
      <c r="A684" s="32">
        <v>10727</v>
      </c>
      <c r="B684" s="32" t="s">
        <v>1532</v>
      </c>
      <c r="C684" s="31">
        <v>1417</v>
      </c>
      <c r="D684" s="32">
        <v>0</v>
      </c>
      <c r="E684" s="15">
        <f>INDEX(monster!$H$2:$H$617,MATCH(skill!C684,monster!$A$2:$A$617,0))</f>
        <v>66.010000000000005</v>
      </c>
      <c r="F684" s="15">
        <f>INDEX(monster!$I$2:$I$617,MATCH(C684,monster!$A$2:$A$617,0))</f>
        <v>1.98</v>
      </c>
      <c r="G684" s="15" t="b">
        <v>1</v>
      </c>
      <c r="H684" s="31">
        <v>1</v>
      </c>
      <c r="I684" s="15">
        <f>IF(H684&gt;0,HLOOKUP(R684/100,数值规划表!$B$37:$AA$39,3),1)</f>
        <v>1.7999999999999998</v>
      </c>
      <c r="J684" s="31" t="s">
        <v>1625</v>
      </c>
      <c r="K684" s="15">
        <f>INDEX(数值规划表!$B$15:$B$18,MATCH(J684,攻击范围,0))</f>
        <v>1</v>
      </c>
      <c r="L684" s="30">
        <f>0.5/M684</f>
        <v>0.125</v>
      </c>
      <c r="M684" s="41">
        <v>4</v>
      </c>
      <c r="N684" s="15">
        <f t="shared" si="36"/>
        <v>15</v>
      </c>
      <c r="O684" s="15">
        <f t="shared" si="37"/>
        <v>0.45</v>
      </c>
      <c r="P684" s="15">
        <f>IF(G684,INDEX(monster!$J$2:$J$606,MATCH(skill!C684,monster!$A$2:$A$606,0)),Q684)</f>
        <v>5</v>
      </c>
      <c r="Q684" s="70">
        <v>4.5</v>
      </c>
      <c r="R684" s="33">
        <v>150</v>
      </c>
    </row>
    <row r="685" spans="1:18" s="38" customFormat="1" x14ac:dyDescent="0.15">
      <c r="A685" s="32">
        <v>10728</v>
      </c>
      <c r="B685" s="32" t="s">
        <v>1533</v>
      </c>
      <c r="C685" s="31">
        <v>1418</v>
      </c>
      <c r="D685" s="32">
        <v>1</v>
      </c>
      <c r="E685" s="15">
        <f>INDEX(monster!$H$2:$H$617,MATCH(skill!C685,monster!$A$2:$A$617,0))</f>
        <v>73.930000000000007</v>
      </c>
      <c r="F685" s="15">
        <f>INDEX(monster!$I$2:$I$617,MATCH(C685,monster!$A$2:$A$617,0))</f>
        <v>2.2200000000000002</v>
      </c>
      <c r="G685" s="15" t="b">
        <v>1</v>
      </c>
      <c r="H685" s="31">
        <v>1</v>
      </c>
      <c r="I685" s="15">
        <f>IF(H685&gt;0,HLOOKUP(R685/100,数值规划表!$B$37:$AA$39,3),1)</f>
        <v>1.7999999999999998</v>
      </c>
      <c r="J685" s="31" t="s">
        <v>1625</v>
      </c>
      <c r="K685" s="15">
        <f>INDEX(数值规划表!$B$15:$B$18,MATCH(J685,攻击范围,0))</f>
        <v>1</v>
      </c>
      <c r="L685" s="70">
        <f t="shared" ref="L685:L705" si="39">0.5/M685</f>
        <v>0.125</v>
      </c>
      <c r="M685" s="70">
        <v>4</v>
      </c>
      <c r="N685" s="15">
        <f t="shared" si="36"/>
        <v>17</v>
      </c>
      <c r="O685" s="15">
        <f t="shared" si="37"/>
        <v>0.5</v>
      </c>
      <c r="P685" s="15">
        <f>IF(G685,INDEX(monster!$J$2:$J$606,MATCH(skill!C685,monster!$A$2:$A$606,0)),Q685)</f>
        <v>5</v>
      </c>
      <c r="Q685" s="70">
        <v>4.5</v>
      </c>
      <c r="R685" s="33">
        <v>150</v>
      </c>
    </row>
    <row r="686" spans="1:18" s="38" customFormat="1" x14ac:dyDescent="0.15">
      <c r="A686" s="32">
        <v>10729</v>
      </c>
      <c r="B686" s="32" t="s">
        <v>1067</v>
      </c>
      <c r="C686" s="31">
        <v>1419</v>
      </c>
      <c r="D686" s="32">
        <v>2</v>
      </c>
      <c r="E686" s="15">
        <f>INDEX(monster!$H$2:$H$617,MATCH(skill!C686,monster!$A$2:$A$617,0))</f>
        <v>82.8</v>
      </c>
      <c r="F686" s="15">
        <f>INDEX(monster!$I$2:$I$617,MATCH(C686,monster!$A$2:$A$617,0))</f>
        <v>2.48</v>
      </c>
      <c r="G686" s="15" t="b">
        <v>1</v>
      </c>
      <c r="H686" s="31">
        <v>1</v>
      </c>
      <c r="I686" s="15">
        <f>IF(H686&gt;0,HLOOKUP(R686/100,数值规划表!$B$37:$AA$39,3),1)</f>
        <v>1.7999999999999998</v>
      </c>
      <c r="J686" s="31" t="s">
        <v>1625</v>
      </c>
      <c r="K686" s="15">
        <f>INDEX(数值规划表!$B$15:$B$18,MATCH(J686,攻击范围,0))</f>
        <v>1</v>
      </c>
      <c r="L686" s="70">
        <f t="shared" si="39"/>
        <v>0.125</v>
      </c>
      <c r="M686" s="70">
        <v>4</v>
      </c>
      <c r="N686" s="15">
        <f t="shared" si="36"/>
        <v>19</v>
      </c>
      <c r="O686" s="15">
        <f t="shared" si="37"/>
        <v>0.56000000000000005</v>
      </c>
      <c r="P686" s="15">
        <f>IF(G686,INDEX(monster!$J$2:$J$606,MATCH(skill!C686,monster!$A$2:$A$606,0)),Q686)</f>
        <v>5</v>
      </c>
      <c r="Q686" s="70">
        <v>4.5</v>
      </c>
      <c r="R686" s="33">
        <v>150</v>
      </c>
    </row>
    <row r="687" spans="1:18" s="38" customFormat="1" x14ac:dyDescent="0.15">
      <c r="A687" s="32">
        <v>10730</v>
      </c>
      <c r="B687" s="32" t="s">
        <v>1068</v>
      </c>
      <c r="C687" s="31">
        <v>1420</v>
      </c>
      <c r="D687" s="32">
        <v>3</v>
      </c>
      <c r="E687" s="15">
        <f>INDEX(monster!$H$2:$H$617,MATCH(skill!C687,monster!$A$2:$A$617,0))</f>
        <v>92.74</v>
      </c>
      <c r="F687" s="15">
        <f>INDEX(monster!$I$2:$I$617,MATCH(C687,monster!$A$2:$A$617,0))</f>
        <v>2.78</v>
      </c>
      <c r="G687" s="15" t="b">
        <v>1</v>
      </c>
      <c r="H687" s="31">
        <v>1</v>
      </c>
      <c r="I687" s="15">
        <f>IF(H687&gt;0,HLOOKUP(R687/100,数值规划表!$B$37:$AA$39,3),1)</f>
        <v>1.7999999999999998</v>
      </c>
      <c r="J687" s="31" t="s">
        <v>1625</v>
      </c>
      <c r="K687" s="15">
        <f>INDEX(数值规划表!$B$15:$B$18,MATCH(J687,攻击范围,0))</f>
        <v>1</v>
      </c>
      <c r="L687" s="70">
        <f t="shared" si="39"/>
        <v>0.125</v>
      </c>
      <c r="M687" s="70">
        <v>4</v>
      </c>
      <c r="N687" s="15">
        <f t="shared" si="36"/>
        <v>21</v>
      </c>
      <c r="O687" s="15">
        <f t="shared" si="37"/>
        <v>0.63</v>
      </c>
      <c r="P687" s="15">
        <f>IF(G687,INDEX(monster!$J$2:$J$606,MATCH(skill!C687,monster!$A$2:$A$606,0)),Q687)</f>
        <v>5</v>
      </c>
      <c r="Q687" s="70">
        <v>4.5</v>
      </c>
      <c r="R687" s="33">
        <v>150</v>
      </c>
    </row>
    <row r="688" spans="1:18" s="38" customFormat="1" x14ac:dyDescent="0.15">
      <c r="A688" s="32">
        <v>10731</v>
      </c>
      <c r="B688" s="32" t="s">
        <v>1069</v>
      </c>
      <c r="C688" s="31">
        <v>1421</v>
      </c>
      <c r="D688" s="32">
        <v>4</v>
      </c>
      <c r="E688" s="15">
        <f>INDEX(monster!$H$2:$H$617,MATCH(skill!C688,monster!$A$2:$A$617,0))</f>
        <v>103.87</v>
      </c>
      <c r="F688" s="15">
        <f>INDEX(monster!$I$2:$I$617,MATCH(C688,monster!$A$2:$A$617,0))</f>
        <v>3.12</v>
      </c>
      <c r="G688" s="15" t="b">
        <v>1</v>
      </c>
      <c r="H688" s="31">
        <v>1</v>
      </c>
      <c r="I688" s="15">
        <f>IF(H688&gt;0,HLOOKUP(R688/100,数值规划表!$B$37:$AA$39,3),1)</f>
        <v>1.7999999999999998</v>
      </c>
      <c r="J688" s="31" t="s">
        <v>1625</v>
      </c>
      <c r="K688" s="15">
        <f>INDEX(数值规划表!$B$15:$B$18,MATCH(J688,攻击范围,0))</f>
        <v>1</v>
      </c>
      <c r="L688" s="70">
        <f t="shared" si="39"/>
        <v>0.125</v>
      </c>
      <c r="M688" s="70">
        <v>4</v>
      </c>
      <c r="N688" s="15">
        <f t="shared" si="36"/>
        <v>23</v>
      </c>
      <c r="O688" s="15">
        <f t="shared" si="37"/>
        <v>0.7</v>
      </c>
      <c r="P688" s="15">
        <f>IF(G688,INDEX(monster!$J$2:$J$606,MATCH(skill!C688,monster!$A$2:$A$606,0)),Q688)</f>
        <v>5</v>
      </c>
      <c r="Q688" s="70">
        <v>4.5</v>
      </c>
      <c r="R688" s="33">
        <v>150</v>
      </c>
    </row>
    <row r="689" spans="1:18" s="38" customFormat="1" x14ac:dyDescent="0.15">
      <c r="A689" s="32">
        <v>10732</v>
      </c>
      <c r="B689" s="32" t="s">
        <v>1070</v>
      </c>
      <c r="C689" s="31">
        <v>1422</v>
      </c>
      <c r="D689" s="32">
        <v>5</v>
      </c>
      <c r="E689" s="15">
        <f>INDEX(monster!$H$2:$H$617,MATCH(skill!C689,monster!$A$2:$A$617,0))</f>
        <v>116.33</v>
      </c>
      <c r="F689" s="15">
        <f>INDEX(monster!$I$2:$I$617,MATCH(C689,monster!$A$2:$A$617,0))</f>
        <v>3.49</v>
      </c>
      <c r="G689" s="15" t="b">
        <v>1</v>
      </c>
      <c r="H689" s="31">
        <v>1</v>
      </c>
      <c r="I689" s="15">
        <f>IF(H689&gt;0,HLOOKUP(R689/100,数值规划表!$B$37:$AA$39,3),1)</f>
        <v>1.7999999999999998</v>
      </c>
      <c r="J689" s="31" t="s">
        <v>1625</v>
      </c>
      <c r="K689" s="15">
        <f>INDEX(数值规划表!$B$15:$B$18,MATCH(J689,攻击范围,0))</f>
        <v>1</v>
      </c>
      <c r="L689" s="70">
        <f t="shared" si="39"/>
        <v>0.125</v>
      </c>
      <c r="M689" s="70">
        <v>4</v>
      </c>
      <c r="N689" s="15">
        <f t="shared" si="36"/>
        <v>26</v>
      </c>
      <c r="O689" s="15">
        <f t="shared" si="37"/>
        <v>0.79</v>
      </c>
      <c r="P689" s="15">
        <f>IF(G689,INDEX(monster!$J$2:$J$606,MATCH(skill!C689,monster!$A$2:$A$606,0)),Q689)</f>
        <v>5</v>
      </c>
      <c r="Q689" s="70">
        <v>4.5</v>
      </c>
      <c r="R689" s="33">
        <v>150</v>
      </c>
    </row>
    <row r="690" spans="1:18" s="38" customFormat="1" x14ac:dyDescent="0.15">
      <c r="A690" s="32">
        <v>10733</v>
      </c>
      <c r="B690" s="32" t="s">
        <v>1071</v>
      </c>
      <c r="C690" s="31">
        <v>1423</v>
      </c>
      <c r="D690" s="32">
        <v>6</v>
      </c>
      <c r="E690" s="15">
        <f>INDEX(monster!$H$2:$H$617,MATCH(skill!C690,monster!$A$2:$A$617,0))</f>
        <v>130.29</v>
      </c>
      <c r="F690" s="15">
        <f>INDEX(monster!$I$2:$I$617,MATCH(C690,monster!$A$2:$A$617,0))</f>
        <v>3.91</v>
      </c>
      <c r="G690" s="15" t="b">
        <v>1</v>
      </c>
      <c r="H690" s="31">
        <v>1</v>
      </c>
      <c r="I690" s="15">
        <f>IF(H690&gt;0,HLOOKUP(R690/100,数值规划表!$B$37:$AA$39,3),1)</f>
        <v>1.7999999999999998</v>
      </c>
      <c r="J690" s="31" t="s">
        <v>1625</v>
      </c>
      <c r="K690" s="15">
        <f>INDEX(数值规划表!$B$15:$B$18,MATCH(J690,攻击范围,0))</f>
        <v>1</v>
      </c>
      <c r="L690" s="70">
        <f t="shared" si="39"/>
        <v>0.125</v>
      </c>
      <c r="M690" s="70">
        <v>4</v>
      </c>
      <c r="N690" s="15">
        <f t="shared" si="36"/>
        <v>29</v>
      </c>
      <c r="O690" s="15">
        <f t="shared" si="37"/>
        <v>0.88</v>
      </c>
      <c r="P690" s="15">
        <f>IF(G690,INDEX(monster!$J$2:$J$606,MATCH(skill!C690,monster!$A$2:$A$606,0)),Q690)</f>
        <v>5</v>
      </c>
      <c r="Q690" s="70">
        <v>4.5</v>
      </c>
      <c r="R690" s="33">
        <v>150</v>
      </c>
    </row>
    <row r="691" spans="1:18" s="38" customFormat="1" x14ac:dyDescent="0.15">
      <c r="A691" s="32">
        <v>10734</v>
      </c>
      <c r="B691" s="32" t="s">
        <v>1072</v>
      </c>
      <c r="C691" s="31">
        <v>1424</v>
      </c>
      <c r="D691" s="32">
        <v>7</v>
      </c>
      <c r="E691" s="15">
        <f>INDEX(monster!$H$2:$H$617,MATCH(skill!C691,monster!$A$2:$A$617,0))</f>
        <v>145.93</v>
      </c>
      <c r="F691" s="15">
        <f>INDEX(monster!$I$2:$I$617,MATCH(C691,monster!$A$2:$A$617,0))</f>
        <v>4.38</v>
      </c>
      <c r="G691" s="15" t="b">
        <v>1</v>
      </c>
      <c r="H691" s="31">
        <v>1</v>
      </c>
      <c r="I691" s="15">
        <f>IF(H691&gt;0,HLOOKUP(R691/100,数值规划表!$B$37:$AA$39,3),1)</f>
        <v>1.7999999999999998</v>
      </c>
      <c r="J691" s="31" t="s">
        <v>1625</v>
      </c>
      <c r="K691" s="15">
        <f>INDEX(数值规划表!$B$15:$B$18,MATCH(J691,攻击范围,0))</f>
        <v>1</v>
      </c>
      <c r="L691" s="70">
        <f t="shared" si="39"/>
        <v>0.125</v>
      </c>
      <c r="M691" s="70">
        <v>4</v>
      </c>
      <c r="N691" s="15">
        <f t="shared" si="36"/>
        <v>33</v>
      </c>
      <c r="O691" s="15">
        <f t="shared" si="37"/>
        <v>0.99</v>
      </c>
      <c r="P691" s="15">
        <f>IF(G691,INDEX(monster!$J$2:$J$606,MATCH(skill!C691,monster!$A$2:$A$606,0)),Q691)</f>
        <v>5</v>
      </c>
      <c r="Q691" s="70">
        <v>4.5</v>
      </c>
      <c r="R691" s="33">
        <v>150</v>
      </c>
    </row>
    <row r="692" spans="1:18" s="38" customFormat="1" x14ac:dyDescent="0.15">
      <c r="A692" s="32">
        <v>10735</v>
      </c>
      <c r="B692" s="32" t="s">
        <v>1073</v>
      </c>
      <c r="C692" s="31">
        <v>1425</v>
      </c>
      <c r="D692" s="32">
        <v>8</v>
      </c>
      <c r="E692" s="15">
        <f>INDEX(monster!$H$2:$H$617,MATCH(skill!C692,monster!$A$2:$A$617,0))</f>
        <v>163.44</v>
      </c>
      <c r="F692" s="15">
        <f>INDEX(monster!$I$2:$I$617,MATCH(C692,monster!$A$2:$A$617,0))</f>
        <v>4.9000000000000004</v>
      </c>
      <c r="G692" s="15" t="b">
        <v>1</v>
      </c>
      <c r="H692" s="31">
        <v>1</v>
      </c>
      <c r="I692" s="15">
        <f>IF(H692&gt;0,HLOOKUP(R692/100,数值规划表!$B$37:$AA$39,3),1)</f>
        <v>1.7999999999999998</v>
      </c>
      <c r="J692" s="31" t="s">
        <v>1625</v>
      </c>
      <c r="K692" s="15">
        <f>INDEX(数值规划表!$B$15:$B$18,MATCH(J692,攻击范围,0))</f>
        <v>1</v>
      </c>
      <c r="L692" s="70">
        <f t="shared" si="39"/>
        <v>0.125</v>
      </c>
      <c r="M692" s="70">
        <v>4</v>
      </c>
      <c r="N692" s="15">
        <f t="shared" si="36"/>
        <v>37</v>
      </c>
      <c r="O692" s="15">
        <f t="shared" si="37"/>
        <v>1.1000000000000001</v>
      </c>
      <c r="P692" s="15">
        <f>IF(G692,INDEX(monster!$J$2:$J$606,MATCH(skill!C692,monster!$A$2:$A$606,0)),Q692)</f>
        <v>5</v>
      </c>
      <c r="Q692" s="70">
        <v>4.5</v>
      </c>
      <c r="R692" s="33">
        <v>150</v>
      </c>
    </row>
    <row r="693" spans="1:18" s="38" customFormat="1" x14ac:dyDescent="0.15">
      <c r="A693" s="32">
        <v>10736</v>
      </c>
      <c r="B693" s="32" t="s">
        <v>1074</v>
      </c>
      <c r="C693" s="31">
        <v>1426</v>
      </c>
      <c r="D693" s="32">
        <v>9</v>
      </c>
      <c r="E693" s="15">
        <f>INDEX(monster!$H$2:$H$617,MATCH(skill!C693,monster!$A$2:$A$617,0))</f>
        <v>183.05</v>
      </c>
      <c r="F693" s="15">
        <f>INDEX(monster!$I$2:$I$617,MATCH(C693,monster!$A$2:$A$617,0))</f>
        <v>5.49</v>
      </c>
      <c r="G693" s="15" t="b">
        <v>1</v>
      </c>
      <c r="H693" s="31">
        <v>1</v>
      </c>
      <c r="I693" s="15">
        <f>IF(H693&gt;0,HLOOKUP(R693/100,数值规划表!$B$37:$AA$39,3),1)</f>
        <v>1.7999999999999998</v>
      </c>
      <c r="J693" s="31" t="s">
        <v>1625</v>
      </c>
      <c r="K693" s="15">
        <f>INDEX(数值规划表!$B$15:$B$18,MATCH(J693,攻击范围,0))</f>
        <v>1</v>
      </c>
      <c r="L693" s="70">
        <f t="shared" si="39"/>
        <v>0.125</v>
      </c>
      <c r="M693" s="70">
        <v>4</v>
      </c>
      <c r="N693" s="15">
        <f t="shared" si="36"/>
        <v>41</v>
      </c>
      <c r="O693" s="15">
        <f t="shared" si="37"/>
        <v>1.24</v>
      </c>
      <c r="P693" s="15">
        <f>IF(G693,INDEX(monster!$J$2:$J$606,MATCH(skill!C693,monster!$A$2:$A$606,0)),Q693)</f>
        <v>5</v>
      </c>
      <c r="Q693" s="70">
        <v>4.5</v>
      </c>
      <c r="R693" s="33">
        <v>150</v>
      </c>
    </row>
    <row r="694" spans="1:18" s="38" customFormat="1" x14ac:dyDescent="0.15">
      <c r="A694" s="32">
        <v>10737</v>
      </c>
      <c r="B694" s="32" t="s">
        <v>1075</v>
      </c>
      <c r="C694" s="31">
        <v>1427</v>
      </c>
      <c r="D694" s="32">
        <v>10</v>
      </c>
      <c r="E694" s="15">
        <f>INDEX(monster!$H$2:$H$617,MATCH(skill!C694,monster!$A$2:$A$617,0))</f>
        <v>205.02</v>
      </c>
      <c r="F694" s="15">
        <f>INDEX(monster!$I$2:$I$617,MATCH(C694,monster!$A$2:$A$617,0))</f>
        <v>6.15</v>
      </c>
      <c r="G694" s="15" t="b">
        <v>1</v>
      </c>
      <c r="H694" s="31">
        <v>1</v>
      </c>
      <c r="I694" s="15">
        <f>IF(H694&gt;0,HLOOKUP(R694/100,数值规划表!$B$37:$AA$39,3),1)</f>
        <v>1.7999999999999998</v>
      </c>
      <c r="J694" s="31" t="s">
        <v>1625</v>
      </c>
      <c r="K694" s="15">
        <f>INDEX(数值规划表!$B$15:$B$18,MATCH(J694,攻击范围,0))</f>
        <v>1</v>
      </c>
      <c r="L694" s="70">
        <f t="shared" si="39"/>
        <v>0.125</v>
      </c>
      <c r="M694" s="70">
        <v>4</v>
      </c>
      <c r="N694" s="15">
        <f t="shared" si="36"/>
        <v>46</v>
      </c>
      <c r="O694" s="15">
        <f t="shared" si="37"/>
        <v>1.38</v>
      </c>
      <c r="P694" s="15">
        <f>IF(G694,INDEX(monster!$J$2:$J$606,MATCH(skill!C694,monster!$A$2:$A$606,0)),Q694)</f>
        <v>5</v>
      </c>
      <c r="Q694" s="70">
        <v>4.5</v>
      </c>
      <c r="R694" s="33">
        <v>150</v>
      </c>
    </row>
    <row r="695" spans="1:18" s="38" customFormat="1" x14ac:dyDescent="0.15">
      <c r="A695" s="32">
        <v>10738</v>
      </c>
      <c r="B695" s="32" t="s">
        <v>1709</v>
      </c>
      <c r="C695" s="31">
        <v>1417</v>
      </c>
      <c r="D695" s="32">
        <v>0</v>
      </c>
      <c r="E695" s="15">
        <f>INDEX(monster!$H$2:$H$617,MATCH(skill!C695,monster!$A$2:$A$617,0))</f>
        <v>66.010000000000005</v>
      </c>
      <c r="F695" s="15">
        <f>INDEX(monster!$I$2:$I$617,MATCH(C695,monster!$A$2:$A$617,0))</f>
        <v>1.98</v>
      </c>
      <c r="G695" s="15" t="b">
        <v>1</v>
      </c>
      <c r="H695" s="31">
        <v>1</v>
      </c>
      <c r="I695" s="15">
        <f>IF(H695&gt;0,HLOOKUP(R695/100,数值规划表!$B$37:$AA$39,3),1)</f>
        <v>1.7999999999999998</v>
      </c>
      <c r="J695" s="31" t="s">
        <v>1625</v>
      </c>
      <c r="K695" s="15">
        <f>INDEX(数值规划表!$B$15:$B$18,MATCH(J695,攻击范围,0))</f>
        <v>1</v>
      </c>
      <c r="L695" s="70">
        <f t="shared" si="39"/>
        <v>0.125</v>
      </c>
      <c r="M695" s="70">
        <v>4</v>
      </c>
      <c r="N695" s="15">
        <f t="shared" ref="N695:N758" si="40">ROUND(E695*I695*K695*L695,0)</f>
        <v>15</v>
      </c>
      <c r="O695" s="15">
        <f t="shared" ref="O695:O758" si="41">ROUND(F695*I695*K695*L695,2)</f>
        <v>0.45</v>
      </c>
      <c r="P695" s="15">
        <f>IF(G695,INDEX(monster!$J$2:$J$606,MATCH(skill!C695,monster!$A$2:$A$606,0)),Q695)</f>
        <v>5</v>
      </c>
      <c r="Q695" s="70">
        <v>5.5</v>
      </c>
      <c r="R695" s="33">
        <v>150</v>
      </c>
    </row>
    <row r="696" spans="1:18" s="38" customFormat="1" x14ac:dyDescent="0.15">
      <c r="A696" s="32">
        <v>10739</v>
      </c>
      <c r="B696" s="32" t="s">
        <v>1710</v>
      </c>
      <c r="C696" s="31">
        <v>1418</v>
      </c>
      <c r="D696" s="32">
        <v>1</v>
      </c>
      <c r="E696" s="15">
        <f>INDEX(monster!$H$2:$H$617,MATCH(skill!C696,monster!$A$2:$A$617,0))</f>
        <v>73.930000000000007</v>
      </c>
      <c r="F696" s="15">
        <f>INDEX(monster!$I$2:$I$617,MATCH(C696,monster!$A$2:$A$617,0))</f>
        <v>2.2200000000000002</v>
      </c>
      <c r="G696" s="15" t="b">
        <v>1</v>
      </c>
      <c r="H696" s="31">
        <v>1</v>
      </c>
      <c r="I696" s="15">
        <f>IF(H696&gt;0,HLOOKUP(R696/100,数值规划表!$B$37:$AA$39,3),1)</f>
        <v>1.7999999999999998</v>
      </c>
      <c r="J696" s="31" t="s">
        <v>1625</v>
      </c>
      <c r="K696" s="15">
        <f>INDEX(数值规划表!$B$15:$B$18,MATCH(J696,攻击范围,0))</f>
        <v>1</v>
      </c>
      <c r="L696" s="70">
        <f t="shared" si="39"/>
        <v>0.125</v>
      </c>
      <c r="M696" s="70">
        <v>4</v>
      </c>
      <c r="N696" s="15">
        <f t="shared" si="40"/>
        <v>17</v>
      </c>
      <c r="O696" s="15">
        <f t="shared" si="41"/>
        <v>0.5</v>
      </c>
      <c r="P696" s="15">
        <f>IF(G696,INDEX(monster!$J$2:$J$606,MATCH(skill!C696,monster!$A$2:$A$606,0)),Q696)</f>
        <v>5</v>
      </c>
      <c r="Q696" s="70">
        <v>5.5</v>
      </c>
      <c r="R696" s="33">
        <v>150</v>
      </c>
    </row>
    <row r="697" spans="1:18" s="38" customFormat="1" x14ac:dyDescent="0.15">
      <c r="A697" s="32">
        <v>10740</v>
      </c>
      <c r="B697" s="32" t="s">
        <v>1711</v>
      </c>
      <c r="C697" s="31">
        <v>1419</v>
      </c>
      <c r="D697" s="32">
        <v>2</v>
      </c>
      <c r="E697" s="15">
        <f>INDEX(monster!$H$2:$H$617,MATCH(skill!C697,monster!$A$2:$A$617,0))</f>
        <v>82.8</v>
      </c>
      <c r="F697" s="15">
        <f>INDEX(monster!$I$2:$I$617,MATCH(C697,monster!$A$2:$A$617,0))</f>
        <v>2.48</v>
      </c>
      <c r="G697" s="15" t="b">
        <v>1</v>
      </c>
      <c r="H697" s="31">
        <v>1</v>
      </c>
      <c r="I697" s="15">
        <f>IF(H697&gt;0,HLOOKUP(R697/100,数值规划表!$B$37:$AA$39,3),1)</f>
        <v>1.7999999999999998</v>
      </c>
      <c r="J697" s="31" t="s">
        <v>1625</v>
      </c>
      <c r="K697" s="15">
        <f>INDEX(数值规划表!$B$15:$B$18,MATCH(J697,攻击范围,0))</f>
        <v>1</v>
      </c>
      <c r="L697" s="70">
        <f t="shared" si="39"/>
        <v>0.125</v>
      </c>
      <c r="M697" s="70">
        <v>4</v>
      </c>
      <c r="N697" s="15">
        <f t="shared" si="40"/>
        <v>19</v>
      </c>
      <c r="O697" s="15">
        <f t="shared" si="41"/>
        <v>0.56000000000000005</v>
      </c>
      <c r="P697" s="15">
        <f>IF(G697,INDEX(monster!$J$2:$J$606,MATCH(skill!C697,monster!$A$2:$A$606,0)),Q697)</f>
        <v>5</v>
      </c>
      <c r="Q697" s="70">
        <v>5.5</v>
      </c>
      <c r="R697" s="33">
        <v>150</v>
      </c>
    </row>
    <row r="698" spans="1:18" s="38" customFormat="1" x14ac:dyDescent="0.15">
      <c r="A698" s="32">
        <v>10741</v>
      </c>
      <c r="B698" s="32" t="s">
        <v>1712</v>
      </c>
      <c r="C698" s="31">
        <v>1420</v>
      </c>
      <c r="D698" s="32">
        <v>3</v>
      </c>
      <c r="E698" s="15">
        <f>INDEX(monster!$H$2:$H$617,MATCH(skill!C698,monster!$A$2:$A$617,0))</f>
        <v>92.74</v>
      </c>
      <c r="F698" s="15">
        <f>INDEX(monster!$I$2:$I$617,MATCH(C698,monster!$A$2:$A$617,0))</f>
        <v>2.78</v>
      </c>
      <c r="G698" s="15" t="b">
        <v>1</v>
      </c>
      <c r="H698" s="31">
        <v>1</v>
      </c>
      <c r="I698" s="15">
        <f>IF(H698&gt;0,HLOOKUP(R698/100,数值规划表!$B$37:$AA$39,3),1)</f>
        <v>1.7999999999999998</v>
      </c>
      <c r="J698" s="31" t="s">
        <v>1625</v>
      </c>
      <c r="K698" s="15">
        <f>INDEX(数值规划表!$B$15:$B$18,MATCH(J698,攻击范围,0))</f>
        <v>1</v>
      </c>
      <c r="L698" s="70">
        <f t="shared" si="39"/>
        <v>0.125</v>
      </c>
      <c r="M698" s="70">
        <v>4</v>
      </c>
      <c r="N698" s="15">
        <f t="shared" si="40"/>
        <v>21</v>
      </c>
      <c r="O698" s="15">
        <f t="shared" si="41"/>
        <v>0.63</v>
      </c>
      <c r="P698" s="15">
        <f>IF(G698,INDEX(monster!$J$2:$J$606,MATCH(skill!C698,monster!$A$2:$A$606,0)),Q698)</f>
        <v>5</v>
      </c>
      <c r="Q698" s="70">
        <v>5.5</v>
      </c>
      <c r="R698" s="33">
        <v>150</v>
      </c>
    </row>
    <row r="699" spans="1:18" s="38" customFormat="1" x14ac:dyDescent="0.15">
      <c r="A699" s="32">
        <v>10742</v>
      </c>
      <c r="B699" s="32" t="s">
        <v>1713</v>
      </c>
      <c r="C699" s="31">
        <v>1421</v>
      </c>
      <c r="D699" s="32">
        <v>4</v>
      </c>
      <c r="E699" s="15">
        <f>INDEX(monster!$H$2:$H$617,MATCH(skill!C699,monster!$A$2:$A$617,0))</f>
        <v>103.87</v>
      </c>
      <c r="F699" s="15">
        <f>INDEX(monster!$I$2:$I$617,MATCH(C699,monster!$A$2:$A$617,0))</f>
        <v>3.12</v>
      </c>
      <c r="G699" s="15" t="b">
        <v>1</v>
      </c>
      <c r="H699" s="31">
        <v>1</v>
      </c>
      <c r="I699" s="15">
        <f>IF(H699&gt;0,HLOOKUP(R699/100,数值规划表!$B$37:$AA$39,3),1)</f>
        <v>1.7999999999999998</v>
      </c>
      <c r="J699" s="31" t="s">
        <v>1625</v>
      </c>
      <c r="K699" s="15">
        <f>INDEX(数值规划表!$B$15:$B$18,MATCH(J699,攻击范围,0))</f>
        <v>1</v>
      </c>
      <c r="L699" s="70">
        <f t="shared" si="39"/>
        <v>0.125</v>
      </c>
      <c r="M699" s="70">
        <v>4</v>
      </c>
      <c r="N699" s="15">
        <f t="shared" si="40"/>
        <v>23</v>
      </c>
      <c r="O699" s="15">
        <f t="shared" si="41"/>
        <v>0.7</v>
      </c>
      <c r="P699" s="15">
        <f>IF(G699,INDEX(monster!$J$2:$J$606,MATCH(skill!C699,monster!$A$2:$A$606,0)),Q699)</f>
        <v>5</v>
      </c>
      <c r="Q699" s="70">
        <v>5.5</v>
      </c>
      <c r="R699" s="33">
        <v>150</v>
      </c>
    </row>
    <row r="700" spans="1:18" s="38" customFormat="1" x14ac:dyDescent="0.15">
      <c r="A700" s="32">
        <v>10743</v>
      </c>
      <c r="B700" s="32" t="s">
        <v>1714</v>
      </c>
      <c r="C700" s="31">
        <v>1422</v>
      </c>
      <c r="D700" s="32">
        <v>5</v>
      </c>
      <c r="E700" s="15">
        <f>INDEX(monster!$H$2:$H$617,MATCH(skill!C700,monster!$A$2:$A$617,0))</f>
        <v>116.33</v>
      </c>
      <c r="F700" s="15">
        <f>INDEX(monster!$I$2:$I$617,MATCH(C700,monster!$A$2:$A$617,0))</f>
        <v>3.49</v>
      </c>
      <c r="G700" s="15" t="b">
        <v>1</v>
      </c>
      <c r="H700" s="31">
        <v>1</v>
      </c>
      <c r="I700" s="15">
        <f>IF(H700&gt;0,HLOOKUP(R700/100,数值规划表!$B$37:$AA$39,3),1)</f>
        <v>1.7999999999999998</v>
      </c>
      <c r="J700" s="31" t="s">
        <v>1625</v>
      </c>
      <c r="K700" s="15">
        <f>INDEX(数值规划表!$B$15:$B$18,MATCH(J700,攻击范围,0))</f>
        <v>1</v>
      </c>
      <c r="L700" s="70">
        <f t="shared" si="39"/>
        <v>0.125</v>
      </c>
      <c r="M700" s="70">
        <v>4</v>
      </c>
      <c r="N700" s="15">
        <f t="shared" si="40"/>
        <v>26</v>
      </c>
      <c r="O700" s="15">
        <f t="shared" si="41"/>
        <v>0.79</v>
      </c>
      <c r="P700" s="15">
        <f>IF(G700,INDEX(monster!$J$2:$J$606,MATCH(skill!C700,monster!$A$2:$A$606,0)),Q700)</f>
        <v>5</v>
      </c>
      <c r="Q700" s="70">
        <v>5.5</v>
      </c>
      <c r="R700" s="33">
        <v>150</v>
      </c>
    </row>
    <row r="701" spans="1:18" s="38" customFormat="1" x14ac:dyDescent="0.15">
      <c r="A701" s="32">
        <v>10744</v>
      </c>
      <c r="B701" s="32" t="s">
        <v>1715</v>
      </c>
      <c r="C701" s="31">
        <v>1423</v>
      </c>
      <c r="D701" s="32">
        <v>6</v>
      </c>
      <c r="E701" s="15">
        <f>INDEX(monster!$H$2:$H$617,MATCH(skill!C701,monster!$A$2:$A$617,0))</f>
        <v>130.29</v>
      </c>
      <c r="F701" s="15">
        <f>INDEX(monster!$I$2:$I$617,MATCH(C701,monster!$A$2:$A$617,0))</f>
        <v>3.91</v>
      </c>
      <c r="G701" s="15" t="b">
        <v>1</v>
      </c>
      <c r="H701" s="31">
        <v>1</v>
      </c>
      <c r="I701" s="15">
        <f>IF(H701&gt;0,HLOOKUP(R701/100,数值规划表!$B$37:$AA$39,3),1)</f>
        <v>1.7999999999999998</v>
      </c>
      <c r="J701" s="31" t="s">
        <v>1625</v>
      </c>
      <c r="K701" s="15">
        <f>INDEX(数值规划表!$B$15:$B$18,MATCH(J701,攻击范围,0))</f>
        <v>1</v>
      </c>
      <c r="L701" s="70">
        <f t="shared" si="39"/>
        <v>0.125</v>
      </c>
      <c r="M701" s="70">
        <v>4</v>
      </c>
      <c r="N701" s="15">
        <f t="shared" si="40"/>
        <v>29</v>
      </c>
      <c r="O701" s="15">
        <f t="shared" si="41"/>
        <v>0.88</v>
      </c>
      <c r="P701" s="15">
        <f>IF(G701,INDEX(monster!$J$2:$J$606,MATCH(skill!C701,monster!$A$2:$A$606,0)),Q701)</f>
        <v>5</v>
      </c>
      <c r="Q701" s="70">
        <v>5.5</v>
      </c>
      <c r="R701" s="33">
        <v>150</v>
      </c>
    </row>
    <row r="702" spans="1:18" s="38" customFormat="1" x14ac:dyDescent="0.15">
      <c r="A702" s="32">
        <v>10745</v>
      </c>
      <c r="B702" s="32" t="s">
        <v>1716</v>
      </c>
      <c r="C702" s="31">
        <v>1424</v>
      </c>
      <c r="D702" s="32">
        <v>7</v>
      </c>
      <c r="E702" s="15">
        <f>INDEX(monster!$H$2:$H$617,MATCH(skill!C702,monster!$A$2:$A$617,0))</f>
        <v>145.93</v>
      </c>
      <c r="F702" s="15">
        <f>INDEX(monster!$I$2:$I$617,MATCH(C702,monster!$A$2:$A$617,0))</f>
        <v>4.38</v>
      </c>
      <c r="G702" s="15" t="b">
        <v>1</v>
      </c>
      <c r="H702" s="31">
        <v>1</v>
      </c>
      <c r="I702" s="15">
        <f>IF(H702&gt;0,HLOOKUP(R702/100,数值规划表!$B$37:$AA$39,3),1)</f>
        <v>1.7999999999999998</v>
      </c>
      <c r="J702" s="31" t="s">
        <v>1625</v>
      </c>
      <c r="K702" s="15">
        <f>INDEX(数值规划表!$B$15:$B$18,MATCH(J702,攻击范围,0))</f>
        <v>1</v>
      </c>
      <c r="L702" s="70">
        <f t="shared" si="39"/>
        <v>0.125</v>
      </c>
      <c r="M702" s="70">
        <v>4</v>
      </c>
      <c r="N702" s="15">
        <f t="shared" si="40"/>
        <v>33</v>
      </c>
      <c r="O702" s="15">
        <f t="shared" si="41"/>
        <v>0.99</v>
      </c>
      <c r="P702" s="15">
        <f>IF(G702,INDEX(monster!$J$2:$J$606,MATCH(skill!C702,monster!$A$2:$A$606,0)),Q702)</f>
        <v>5</v>
      </c>
      <c r="Q702" s="70">
        <v>5.5</v>
      </c>
      <c r="R702" s="33">
        <v>150</v>
      </c>
    </row>
    <row r="703" spans="1:18" s="38" customFormat="1" x14ac:dyDescent="0.15">
      <c r="A703" s="32">
        <v>10746</v>
      </c>
      <c r="B703" s="32" t="s">
        <v>1717</v>
      </c>
      <c r="C703" s="31">
        <v>1425</v>
      </c>
      <c r="D703" s="32">
        <v>8</v>
      </c>
      <c r="E703" s="15">
        <f>INDEX(monster!$H$2:$H$617,MATCH(skill!C703,monster!$A$2:$A$617,0))</f>
        <v>163.44</v>
      </c>
      <c r="F703" s="15">
        <f>INDEX(monster!$I$2:$I$617,MATCH(C703,monster!$A$2:$A$617,0))</f>
        <v>4.9000000000000004</v>
      </c>
      <c r="G703" s="15" t="b">
        <v>1</v>
      </c>
      <c r="H703" s="31">
        <v>1</v>
      </c>
      <c r="I703" s="15">
        <f>IF(H703&gt;0,HLOOKUP(R703/100,数值规划表!$B$37:$AA$39,3),1)</f>
        <v>1.7999999999999998</v>
      </c>
      <c r="J703" s="31" t="s">
        <v>1625</v>
      </c>
      <c r="K703" s="15">
        <f>INDEX(数值规划表!$B$15:$B$18,MATCH(J703,攻击范围,0))</f>
        <v>1</v>
      </c>
      <c r="L703" s="70">
        <f t="shared" si="39"/>
        <v>0.125</v>
      </c>
      <c r="M703" s="70">
        <v>4</v>
      </c>
      <c r="N703" s="15">
        <f t="shared" si="40"/>
        <v>37</v>
      </c>
      <c r="O703" s="15">
        <f t="shared" si="41"/>
        <v>1.1000000000000001</v>
      </c>
      <c r="P703" s="15">
        <f>IF(G703,INDEX(monster!$J$2:$J$606,MATCH(skill!C703,monster!$A$2:$A$606,0)),Q703)</f>
        <v>5</v>
      </c>
      <c r="Q703" s="70">
        <v>5.5</v>
      </c>
      <c r="R703" s="33">
        <v>150</v>
      </c>
    </row>
    <row r="704" spans="1:18" s="38" customFormat="1" x14ac:dyDescent="0.15">
      <c r="A704" s="32">
        <v>10747</v>
      </c>
      <c r="B704" s="32" t="s">
        <v>1718</v>
      </c>
      <c r="C704" s="31">
        <v>1426</v>
      </c>
      <c r="D704" s="32">
        <v>9</v>
      </c>
      <c r="E704" s="15">
        <f>INDEX(monster!$H$2:$H$617,MATCH(skill!C704,monster!$A$2:$A$617,0))</f>
        <v>183.05</v>
      </c>
      <c r="F704" s="15">
        <f>INDEX(monster!$I$2:$I$617,MATCH(C704,monster!$A$2:$A$617,0))</f>
        <v>5.49</v>
      </c>
      <c r="G704" s="15" t="b">
        <v>1</v>
      </c>
      <c r="H704" s="31">
        <v>1</v>
      </c>
      <c r="I704" s="15">
        <f>IF(H704&gt;0,HLOOKUP(R704/100,数值规划表!$B$37:$AA$39,3),1)</f>
        <v>1.7999999999999998</v>
      </c>
      <c r="J704" s="31" t="s">
        <v>1625</v>
      </c>
      <c r="K704" s="15">
        <f>INDEX(数值规划表!$B$15:$B$18,MATCH(J704,攻击范围,0))</f>
        <v>1</v>
      </c>
      <c r="L704" s="70">
        <f t="shared" si="39"/>
        <v>0.125</v>
      </c>
      <c r="M704" s="70">
        <v>4</v>
      </c>
      <c r="N704" s="15">
        <f t="shared" si="40"/>
        <v>41</v>
      </c>
      <c r="O704" s="15">
        <f t="shared" si="41"/>
        <v>1.24</v>
      </c>
      <c r="P704" s="15">
        <f>IF(G704,INDEX(monster!$J$2:$J$606,MATCH(skill!C704,monster!$A$2:$A$606,0)),Q704)</f>
        <v>5</v>
      </c>
      <c r="Q704" s="70">
        <v>5.5</v>
      </c>
      <c r="R704" s="33">
        <v>150</v>
      </c>
    </row>
    <row r="705" spans="1:18" s="38" customFormat="1" x14ac:dyDescent="0.15">
      <c r="A705" s="32">
        <v>10748</v>
      </c>
      <c r="B705" s="32" t="s">
        <v>1719</v>
      </c>
      <c r="C705" s="31">
        <v>1427</v>
      </c>
      <c r="D705" s="32">
        <v>10</v>
      </c>
      <c r="E705" s="15">
        <f>INDEX(monster!$H$2:$H$617,MATCH(skill!C705,monster!$A$2:$A$617,0))</f>
        <v>205.02</v>
      </c>
      <c r="F705" s="15">
        <f>INDEX(monster!$I$2:$I$617,MATCH(C705,monster!$A$2:$A$617,0))</f>
        <v>6.15</v>
      </c>
      <c r="G705" s="15" t="b">
        <v>1</v>
      </c>
      <c r="H705" s="31">
        <v>1</v>
      </c>
      <c r="I705" s="15">
        <f>IF(H705&gt;0,HLOOKUP(R705/100,数值规划表!$B$37:$AA$39,3),1)</f>
        <v>1.7999999999999998</v>
      </c>
      <c r="J705" s="31" t="s">
        <v>1625</v>
      </c>
      <c r="K705" s="15">
        <f>INDEX(数值规划表!$B$15:$B$18,MATCH(J705,攻击范围,0))</f>
        <v>1</v>
      </c>
      <c r="L705" s="70">
        <f t="shared" si="39"/>
        <v>0.125</v>
      </c>
      <c r="M705" s="70">
        <v>4</v>
      </c>
      <c r="N705" s="15">
        <f t="shared" si="40"/>
        <v>46</v>
      </c>
      <c r="O705" s="15">
        <f t="shared" si="41"/>
        <v>1.38</v>
      </c>
      <c r="P705" s="15">
        <f>IF(G705,INDEX(monster!$J$2:$J$606,MATCH(skill!C705,monster!$A$2:$A$606,0)),Q705)</f>
        <v>5</v>
      </c>
      <c r="Q705" s="70">
        <v>5.5</v>
      </c>
      <c r="R705" s="33">
        <v>150</v>
      </c>
    </row>
    <row r="706" spans="1:18" s="38" customFormat="1" x14ac:dyDescent="0.15">
      <c r="A706" s="53">
        <v>10749</v>
      </c>
      <c r="B706" s="53" t="s">
        <v>2875</v>
      </c>
      <c r="C706" s="31">
        <v>1417</v>
      </c>
      <c r="D706" s="32">
        <v>0</v>
      </c>
      <c r="E706" s="15">
        <f>INDEX(monster!$H$2:$H$617,MATCH(skill!C706,monster!$A$2:$A$617,0))</f>
        <v>66.010000000000005</v>
      </c>
      <c r="F706" s="15">
        <f>INDEX(monster!$I$2:$I$617,MATCH(C706,monster!$A$2:$A$617,0))</f>
        <v>1.98</v>
      </c>
      <c r="G706" s="15" t="b">
        <f t="shared" ref="G706:G716" si="42">ISNUMBER(FIND("普攻",B706))</f>
        <v>0</v>
      </c>
      <c r="H706" s="31">
        <v>0</v>
      </c>
      <c r="I706" s="15">
        <f>IF(H706&gt;0,HLOOKUP(R706/100,数值规划表!$B$37:$AA$39,3),1)</f>
        <v>1</v>
      </c>
      <c r="J706" s="31" t="s">
        <v>1625</v>
      </c>
      <c r="K706" s="15">
        <f>INDEX(数值规划表!$B$15:$B$18,MATCH(J706,攻击范围,0))</f>
        <v>1</v>
      </c>
      <c r="L706" s="70">
        <v>0.4</v>
      </c>
      <c r="M706" s="70">
        <v>1</v>
      </c>
      <c r="N706" s="15">
        <f t="shared" si="40"/>
        <v>26</v>
      </c>
      <c r="O706" s="15">
        <f t="shared" si="41"/>
        <v>0.79</v>
      </c>
      <c r="P706" s="15">
        <f>IF(G706,INDEX(monster!$J$2:$J$606,MATCH(skill!C706,monster!$A$2:$A$606,0)),Q706)</f>
        <v>4</v>
      </c>
      <c r="Q706" s="70">
        <v>4</v>
      </c>
      <c r="R706" s="52">
        <v>500</v>
      </c>
    </row>
    <row r="707" spans="1:18" s="38" customFormat="1" x14ac:dyDescent="0.15">
      <c r="A707" s="53">
        <v>10750</v>
      </c>
      <c r="B707" s="53" t="s">
        <v>2876</v>
      </c>
      <c r="C707" s="31">
        <v>1418</v>
      </c>
      <c r="D707" s="32">
        <v>1</v>
      </c>
      <c r="E707" s="15">
        <f>INDEX(monster!$H$2:$H$617,MATCH(skill!C707,monster!$A$2:$A$617,0))</f>
        <v>73.930000000000007</v>
      </c>
      <c r="F707" s="15">
        <f>INDEX(monster!$I$2:$I$617,MATCH(C707,monster!$A$2:$A$617,0))</f>
        <v>2.2200000000000002</v>
      </c>
      <c r="G707" s="15" t="b">
        <f t="shared" si="42"/>
        <v>0</v>
      </c>
      <c r="H707" s="31">
        <v>0</v>
      </c>
      <c r="I707" s="15">
        <f>IF(H707&gt;0,HLOOKUP(R707/100,数值规划表!$B$37:$AA$39,3),1)</f>
        <v>1</v>
      </c>
      <c r="J707" s="31" t="s">
        <v>1625</v>
      </c>
      <c r="K707" s="15">
        <f>INDEX(数值规划表!$B$15:$B$18,MATCH(J707,攻击范围,0))</f>
        <v>1</v>
      </c>
      <c r="L707" s="70">
        <v>0.4</v>
      </c>
      <c r="M707" s="70">
        <v>1</v>
      </c>
      <c r="N707" s="15">
        <f t="shared" si="40"/>
        <v>30</v>
      </c>
      <c r="O707" s="15">
        <f t="shared" si="41"/>
        <v>0.89</v>
      </c>
      <c r="P707" s="15">
        <f>IF(G707,INDEX(monster!$J$2:$J$606,MATCH(skill!C707,monster!$A$2:$A$606,0)),Q707)</f>
        <v>4</v>
      </c>
      <c r="Q707" s="70">
        <v>4</v>
      </c>
      <c r="R707" s="52">
        <v>500</v>
      </c>
    </row>
    <row r="708" spans="1:18" s="38" customFormat="1" x14ac:dyDescent="0.15">
      <c r="A708" s="53">
        <v>10751</v>
      </c>
      <c r="B708" s="53" t="s">
        <v>2877</v>
      </c>
      <c r="C708" s="31">
        <v>1419</v>
      </c>
      <c r="D708" s="32">
        <v>2</v>
      </c>
      <c r="E708" s="15">
        <f>INDEX(monster!$H$2:$H$617,MATCH(skill!C708,monster!$A$2:$A$617,0))</f>
        <v>82.8</v>
      </c>
      <c r="F708" s="15">
        <f>INDEX(monster!$I$2:$I$617,MATCH(C708,monster!$A$2:$A$617,0))</f>
        <v>2.48</v>
      </c>
      <c r="G708" s="15" t="b">
        <f t="shared" si="42"/>
        <v>0</v>
      </c>
      <c r="H708" s="31">
        <v>0</v>
      </c>
      <c r="I708" s="15">
        <f>IF(H708&gt;0,HLOOKUP(R708/100,数值规划表!$B$37:$AA$39,3),1)</f>
        <v>1</v>
      </c>
      <c r="J708" s="31" t="s">
        <v>1625</v>
      </c>
      <c r="K708" s="15">
        <f>INDEX(数值规划表!$B$15:$B$18,MATCH(J708,攻击范围,0))</f>
        <v>1</v>
      </c>
      <c r="L708" s="70">
        <v>0.4</v>
      </c>
      <c r="M708" s="70">
        <v>1</v>
      </c>
      <c r="N708" s="15">
        <f t="shared" si="40"/>
        <v>33</v>
      </c>
      <c r="O708" s="15">
        <f t="shared" si="41"/>
        <v>0.99</v>
      </c>
      <c r="P708" s="15">
        <f>IF(G708,INDEX(monster!$J$2:$J$606,MATCH(skill!C708,monster!$A$2:$A$606,0)),Q708)</f>
        <v>4</v>
      </c>
      <c r="Q708" s="70">
        <v>4</v>
      </c>
      <c r="R708" s="52">
        <v>500</v>
      </c>
    </row>
    <row r="709" spans="1:18" s="38" customFormat="1" x14ac:dyDescent="0.15">
      <c r="A709" s="53">
        <v>10752</v>
      </c>
      <c r="B709" s="53" t="s">
        <v>2878</v>
      </c>
      <c r="C709" s="31">
        <v>1420</v>
      </c>
      <c r="D709" s="32">
        <v>3</v>
      </c>
      <c r="E709" s="15">
        <f>INDEX(monster!$H$2:$H$617,MATCH(skill!C709,monster!$A$2:$A$617,0))</f>
        <v>92.74</v>
      </c>
      <c r="F709" s="15">
        <f>INDEX(monster!$I$2:$I$617,MATCH(C709,monster!$A$2:$A$617,0))</f>
        <v>2.78</v>
      </c>
      <c r="G709" s="15" t="b">
        <f t="shared" si="42"/>
        <v>0</v>
      </c>
      <c r="H709" s="31">
        <v>0</v>
      </c>
      <c r="I709" s="15">
        <f>IF(H709&gt;0,HLOOKUP(R709/100,数值规划表!$B$37:$AA$39,3),1)</f>
        <v>1</v>
      </c>
      <c r="J709" s="31" t="s">
        <v>1625</v>
      </c>
      <c r="K709" s="15">
        <f>INDEX(数值规划表!$B$15:$B$18,MATCH(J709,攻击范围,0))</f>
        <v>1</v>
      </c>
      <c r="L709" s="70">
        <v>0.4</v>
      </c>
      <c r="M709" s="70">
        <v>1</v>
      </c>
      <c r="N709" s="15">
        <f t="shared" si="40"/>
        <v>37</v>
      </c>
      <c r="O709" s="15">
        <f t="shared" si="41"/>
        <v>1.1100000000000001</v>
      </c>
      <c r="P709" s="15">
        <f>IF(G709,INDEX(monster!$J$2:$J$606,MATCH(skill!C709,monster!$A$2:$A$606,0)),Q709)</f>
        <v>4</v>
      </c>
      <c r="Q709" s="70">
        <v>4</v>
      </c>
      <c r="R709" s="52">
        <v>500</v>
      </c>
    </row>
    <row r="710" spans="1:18" s="38" customFormat="1" x14ac:dyDescent="0.15">
      <c r="A710" s="53">
        <v>10753</v>
      </c>
      <c r="B710" s="53" t="s">
        <v>2879</v>
      </c>
      <c r="C710" s="31">
        <v>1421</v>
      </c>
      <c r="D710" s="32">
        <v>4</v>
      </c>
      <c r="E710" s="15">
        <f>INDEX(monster!$H$2:$H$617,MATCH(skill!C710,monster!$A$2:$A$617,0))</f>
        <v>103.87</v>
      </c>
      <c r="F710" s="15">
        <f>INDEX(monster!$I$2:$I$617,MATCH(C710,monster!$A$2:$A$617,0))</f>
        <v>3.12</v>
      </c>
      <c r="G710" s="15" t="b">
        <f t="shared" si="42"/>
        <v>0</v>
      </c>
      <c r="H710" s="31">
        <v>0</v>
      </c>
      <c r="I710" s="15">
        <f>IF(H710&gt;0,HLOOKUP(R710/100,数值规划表!$B$37:$AA$39,3),1)</f>
        <v>1</v>
      </c>
      <c r="J710" s="31" t="s">
        <v>1625</v>
      </c>
      <c r="K710" s="15">
        <f>INDEX(数值规划表!$B$15:$B$18,MATCH(J710,攻击范围,0))</f>
        <v>1</v>
      </c>
      <c r="L710" s="70">
        <v>0.4</v>
      </c>
      <c r="M710" s="70">
        <v>1</v>
      </c>
      <c r="N710" s="15">
        <f t="shared" si="40"/>
        <v>42</v>
      </c>
      <c r="O710" s="15">
        <f t="shared" si="41"/>
        <v>1.25</v>
      </c>
      <c r="P710" s="15">
        <f>IF(G710,INDEX(monster!$J$2:$J$606,MATCH(skill!C710,monster!$A$2:$A$606,0)),Q710)</f>
        <v>4</v>
      </c>
      <c r="Q710" s="70">
        <v>4</v>
      </c>
      <c r="R710" s="52">
        <v>500</v>
      </c>
    </row>
    <row r="711" spans="1:18" s="38" customFormat="1" x14ac:dyDescent="0.15">
      <c r="A711" s="53">
        <v>10754</v>
      </c>
      <c r="B711" s="53" t="s">
        <v>2880</v>
      </c>
      <c r="C711" s="31">
        <v>1422</v>
      </c>
      <c r="D711" s="32">
        <v>5</v>
      </c>
      <c r="E711" s="15">
        <f>INDEX(monster!$H$2:$H$617,MATCH(skill!C711,monster!$A$2:$A$617,0))</f>
        <v>116.33</v>
      </c>
      <c r="F711" s="15">
        <f>INDEX(monster!$I$2:$I$617,MATCH(C711,monster!$A$2:$A$617,0))</f>
        <v>3.49</v>
      </c>
      <c r="G711" s="15" t="b">
        <f t="shared" si="42"/>
        <v>0</v>
      </c>
      <c r="H711" s="31">
        <v>0</v>
      </c>
      <c r="I711" s="15">
        <f>IF(H711&gt;0,HLOOKUP(R711/100,数值规划表!$B$37:$AA$39,3),1)</f>
        <v>1</v>
      </c>
      <c r="J711" s="31" t="s">
        <v>1625</v>
      </c>
      <c r="K711" s="15">
        <f>INDEX(数值规划表!$B$15:$B$18,MATCH(J711,攻击范围,0))</f>
        <v>1</v>
      </c>
      <c r="L711" s="70">
        <v>0.4</v>
      </c>
      <c r="M711" s="70">
        <v>1</v>
      </c>
      <c r="N711" s="15">
        <f t="shared" si="40"/>
        <v>47</v>
      </c>
      <c r="O711" s="15">
        <f t="shared" si="41"/>
        <v>1.4</v>
      </c>
      <c r="P711" s="15">
        <f>IF(G711,INDEX(monster!$J$2:$J$606,MATCH(skill!C711,monster!$A$2:$A$606,0)),Q711)</f>
        <v>4</v>
      </c>
      <c r="Q711" s="70">
        <v>4</v>
      </c>
      <c r="R711" s="52">
        <v>500</v>
      </c>
    </row>
    <row r="712" spans="1:18" s="38" customFormat="1" x14ac:dyDescent="0.15">
      <c r="A712" s="53">
        <v>10755</v>
      </c>
      <c r="B712" s="53" t="s">
        <v>2881</v>
      </c>
      <c r="C712" s="31">
        <v>1423</v>
      </c>
      <c r="D712" s="32">
        <v>6</v>
      </c>
      <c r="E712" s="15">
        <f>INDEX(monster!$H$2:$H$617,MATCH(skill!C712,monster!$A$2:$A$617,0))</f>
        <v>130.29</v>
      </c>
      <c r="F712" s="15">
        <f>INDEX(monster!$I$2:$I$617,MATCH(C712,monster!$A$2:$A$617,0))</f>
        <v>3.91</v>
      </c>
      <c r="G712" s="15" t="b">
        <f t="shared" si="42"/>
        <v>0</v>
      </c>
      <c r="H712" s="31">
        <v>0</v>
      </c>
      <c r="I712" s="15">
        <f>IF(H712&gt;0,HLOOKUP(R712/100,数值规划表!$B$37:$AA$39,3),1)</f>
        <v>1</v>
      </c>
      <c r="J712" s="31" t="s">
        <v>1625</v>
      </c>
      <c r="K712" s="15">
        <f>INDEX(数值规划表!$B$15:$B$18,MATCH(J712,攻击范围,0))</f>
        <v>1</v>
      </c>
      <c r="L712" s="70">
        <v>0.4</v>
      </c>
      <c r="M712" s="70">
        <v>1</v>
      </c>
      <c r="N712" s="15">
        <f t="shared" si="40"/>
        <v>52</v>
      </c>
      <c r="O712" s="15">
        <f t="shared" si="41"/>
        <v>1.56</v>
      </c>
      <c r="P712" s="15">
        <f>IF(G712,INDEX(monster!$J$2:$J$606,MATCH(skill!C712,monster!$A$2:$A$606,0)),Q712)</f>
        <v>4</v>
      </c>
      <c r="Q712" s="70">
        <v>4</v>
      </c>
      <c r="R712" s="52">
        <v>500</v>
      </c>
    </row>
    <row r="713" spans="1:18" s="38" customFormat="1" x14ac:dyDescent="0.15">
      <c r="A713" s="53">
        <v>10756</v>
      </c>
      <c r="B713" s="53" t="s">
        <v>2882</v>
      </c>
      <c r="C713" s="31">
        <v>1424</v>
      </c>
      <c r="D713" s="32">
        <v>7</v>
      </c>
      <c r="E713" s="15">
        <f>INDEX(monster!$H$2:$H$617,MATCH(skill!C713,monster!$A$2:$A$617,0))</f>
        <v>145.93</v>
      </c>
      <c r="F713" s="15">
        <f>INDEX(monster!$I$2:$I$617,MATCH(C713,monster!$A$2:$A$617,0))</f>
        <v>4.38</v>
      </c>
      <c r="G713" s="15" t="b">
        <f t="shared" si="42"/>
        <v>0</v>
      </c>
      <c r="H713" s="31">
        <v>0</v>
      </c>
      <c r="I713" s="15">
        <f>IF(H713&gt;0,HLOOKUP(R713/100,数值规划表!$B$37:$AA$39,3),1)</f>
        <v>1</v>
      </c>
      <c r="J713" s="31" t="s">
        <v>1625</v>
      </c>
      <c r="K713" s="15">
        <f>INDEX(数值规划表!$B$15:$B$18,MATCH(J713,攻击范围,0))</f>
        <v>1</v>
      </c>
      <c r="L713" s="70">
        <v>0.4</v>
      </c>
      <c r="M713" s="70">
        <v>1</v>
      </c>
      <c r="N713" s="15">
        <f t="shared" si="40"/>
        <v>58</v>
      </c>
      <c r="O713" s="15">
        <f t="shared" si="41"/>
        <v>1.75</v>
      </c>
      <c r="P713" s="15">
        <f>IF(G713,INDEX(monster!$J$2:$J$606,MATCH(skill!C713,monster!$A$2:$A$606,0)),Q713)</f>
        <v>4</v>
      </c>
      <c r="Q713" s="70">
        <v>4</v>
      </c>
      <c r="R713" s="52">
        <v>500</v>
      </c>
    </row>
    <row r="714" spans="1:18" s="38" customFormat="1" x14ac:dyDescent="0.15">
      <c r="A714" s="53">
        <v>10757</v>
      </c>
      <c r="B714" s="53" t="s">
        <v>2883</v>
      </c>
      <c r="C714" s="31">
        <v>1425</v>
      </c>
      <c r="D714" s="32">
        <v>8</v>
      </c>
      <c r="E714" s="15">
        <f>INDEX(monster!$H$2:$H$617,MATCH(skill!C714,monster!$A$2:$A$617,0))</f>
        <v>163.44</v>
      </c>
      <c r="F714" s="15">
        <f>INDEX(monster!$I$2:$I$617,MATCH(C714,monster!$A$2:$A$617,0))</f>
        <v>4.9000000000000004</v>
      </c>
      <c r="G714" s="15" t="b">
        <f t="shared" si="42"/>
        <v>0</v>
      </c>
      <c r="H714" s="31">
        <v>0</v>
      </c>
      <c r="I714" s="15">
        <f>IF(H714&gt;0,HLOOKUP(R714/100,数值规划表!$B$37:$AA$39,3),1)</f>
        <v>1</v>
      </c>
      <c r="J714" s="31" t="s">
        <v>1625</v>
      </c>
      <c r="K714" s="15">
        <f>INDEX(数值规划表!$B$15:$B$18,MATCH(J714,攻击范围,0))</f>
        <v>1</v>
      </c>
      <c r="L714" s="70">
        <v>0.4</v>
      </c>
      <c r="M714" s="70">
        <v>1</v>
      </c>
      <c r="N714" s="15">
        <f t="shared" si="40"/>
        <v>65</v>
      </c>
      <c r="O714" s="15">
        <f t="shared" si="41"/>
        <v>1.96</v>
      </c>
      <c r="P714" s="15">
        <f>IF(G714,INDEX(monster!$J$2:$J$606,MATCH(skill!C714,monster!$A$2:$A$606,0)),Q714)</f>
        <v>4</v>
      </c>
      <c r="Q714" s="70">
        <v>4</v>
      </c>
      <c r="R714" s="52">
        <v>500</v>
      </c>
    </row>
    <row r="715" spans="1:18" s="38" customFormat="1" x14ac:dyDescent="0.15">
      <c r="A715" s="53">
        <v>10758</v>
      </c>
      <c r="B715" s="53" t="s">
        <v>2884</v>
      </c>
      <c r="C715" s="31">
        <v>1426</v>
      </c>
      <c r="D715" s="32">
        <v>9</v>
      </c>
      <c r="E715" s="15">
        <f>INDEX(monster!$H$2:$H$617,MATCH(skill!C715,monster!$A$2:$A$617,0))</f>
        <v>183.05</v>
      </c>
      <c r="F715" s="15">
        <f>INDEX(monster!$I$2:$I$617,MATCH(C715,monster!$A$2:$A$617,0))</f>
        <v>5.49</v>
      </c>
      <c r="G715" s="15" t="b">
        <f t="shared" si="42"/>
        <v>0</v>
      </c>
      <c r="H715" s="31">
        <v>0</v>
      </c>
      <c r="I715" s="15">
        <f>IF(H715&gt;0,HLOOKUP(R715/100,数值规划表!$B$37:$AA$39,3),1)</f>
        <v>1</v>
      </c>
      <c r="J715" s="31" t="s">
        <v>1625</v>
      </c>
      <c r="K715" s="15">
        <f>INDEX(数值规划表!$B$15:$B$18,MATCH(J715,攻击范围,0))</f>
        <v>1</v>
      </c>
      <c r="L715" s="70">
        <v>0.4</v>
      </c>
      <c r="M715" s="70">
        <v>1</v>
      </c>
      <c r="N715" s="15">
        <f t="shared" si="40"/>
        <v>73</v>
      </c>
      <c r="O715" s="15">
        <f t="shared" si="41"/>
        <v>2.2000000000000002</v>
      </c>
      <c r="P715" s="15">
        <f>IF(G715,INDEX(monster!$J$2:$J$606,MATCH(skill!C715,monster!$A$2:$A$606,0)),Q715)</f>
        <v>4</v>
      </c>
      <c r="Q715" s="70">
        <v>4</v>
      </c>
      <c r="R715" s="52">
        <v>500</v>
      </c>
    </row>
    <row r="716" spans="1:18" s="38" customFormat="1" x14ac:dyDescent="0.15">
      <c r="A716" s="53">
        <v>10759</v>
      </c>
      <c r="B716" s="53" t="s">
        <v>2885</v>
      </c>
      <c r="C716" s="31">
        <v>1427</v>
      </c>
      <c r="D716" s="32">
        <v>10</v>
      </c>
      <c r="E716" s="15">
        <f>INDEX(monster!$H$2:$H$617,MATCH(skill!C716,monster!$A$2:$A$617,0))</f>
        <v>205.02</v>
      </c>
      <c r="F716" s="15">
        <f>INDEX(monster!$I$2:$I$617,MATCH(C716,monster!$A$2:$A$617,0))</f>
        <v>6.15</v>
      </c>
      <c r="G716" s="15" t="b">
        <f t="shared" si="42"/>
        <v>0</v>
      </c>
      <c r="H716" s="31">
        <v>0</v>
      </c>
      <c r="I716" s="15">
        <f>IF(H716&gt;0,HLOOKUP(R716/100,数值规划表!$B$37:$AA$39,3),1)</f>
        <v>1</v>
      </c>
      <c r="J716" s="31" t="s">
        <v>1625</v>
      </c>
      <c r="K716" s="15">
        <f>INDEX(数值规划表!$B$15:$B$18,MATCH(J716,攻击范围,0))</f>
        <v>1</v>
      </c>
      <c r="L716" s="70">
        <v>0.4</v>
      </c>
      <c r="M716" s="70">
        <v>1</v>
      </c>
      <c r="N716" s="15">
        <f t="shared" si="40"/>
        <v>82</v>
      </c>
      <c r="O716" s="15">
        <f t="shared" si="41"/>
        <v>2.46</v>
      </c>
      <c r="P716" s="15">
        <f>IF(G716,INDEX(monster!$J$2:$J$606,MATCH(skill!C716,monster!$A$2:$A$606,0)),Q716)</f>
        <v>4</v>
      </c>
      <c r="Q716" s="70">
        <v>4</v>
      </c>
      <c r="R716" s="52">
        <v>500</v>
      </c>
    </row>
    <row r="717" spans="1:18" s="38" customFormat="1" x14ac:dyDescent="0.15">
      <c r="A717" s="32">
        <v>10760</v>
      </c>
      <c r="B717" s="32" t="s">
        <v>1534</v>
      </c>
      <c r="C717" s="31">
        <v>1417</v>
      </c>
      <c r="D717" s="32">
        <v>0</v>
      </c>
      <c r="E717" s="15">
        <f>INDEX(monster!$H$2:$H$617,MATCH(skill!C717,monster!$A$2:$A$617,0))</f>
        <v>66.010000000000005</v>
      </c>
      <c r="F717" s="15">
        <f>INDEX(monster!$I$2:$I$617,MATCH(C717,monster!$A$2:$A$617,0))</f>
        <v>1.98</v>
      </c>
      <c r="G717" s="15" t="b">
        <f t="shared" si="38"/>
        <v>0</v>
      </c>
      <c r="H717" s="31">
        <v>0</v>
      </c>
      <c r="I717" s="15">
        <f>IF(H717&gt;0,HLOOKUP(R717/100,数值规划表!$B$37:$AA$39,3),1)</f>
        <v>1</v>
      </c>
      <c r="J717" s="31" t="s">
        <v>1625</v>
      </c>
      <c r="K717" s="15">
        <f>INDEX(数值规划表!$B$15:$B$18,MATCH(J717,攻击范围,0))</f>
        <v>1</v>
      </c>
      <c r="L717" s="70">
        <v>0.4</v>
      </c>
      <c r="M717" s="41">
        <v>5</v>
      </c>
      <c r="N717" s="15">
        <f t="shared" si="40"/>
        <v>26</v>
      </c>
      <c r="O717" s="15">
        <f t="shared" si="41"/>
        <v>0.79</v>
      </c>
      <c r="P717" s="15">
        <f>IF(G717,INDEX(monster!$J$2:$J$606,MATCH(skill!C717,monster!$A$2:$A$606,0)),Q717)</f>
        <v>4</v>
      </c>
      <c r="Q717" s="70">
        <v>4</v>
      </c>
      <c r="R717" s="52">
        <v>500</v>
      </c>
    </row>
    <row r="718" spans="1:18" s="38" customFormat="1" x14ac:dyDescent="0.15">
      <c r="A718" s="32">
        <v>10761</v>
      </c>
      <c r="B718" s="32" t="s">
        <v>1535</v>
      </c>
      <c r="C718" s="31">
        <v>1418</v>
      </c>
      <c r="D718" s="32">
        <v>1</v>
      </c>
      <c r="E718" s="15">
        <f>INDEX(monster!$H$2:$H$617,MATCH(skill!C718,monster!$A$2:$A$617,0))</f>
        <v>73.930000000000007</v>
      </c>
      <c r="F718" s="15">
        <f>INDEX(monster!$I$2:$I$617,MATCH(C718,monster!$A$2:$A$617,0))</f>
        <v>2.2200000000000002</v>
      </c>
      <c r="G718" s="15" t="b">
        <f t="shared" si="38"/>
        <v>0</v>
      </c>
      <c r="H718" s="31">
        <v>0</v>
      </c>
      <c r="I718" s="15">
        <f>IF(H718&gt;0,HLOOKUP(R718/100,数值规划表!$B$37:$AA$39,3),1)</f>
        <v>1</v>
      </c>
      <c r="J718" s="31" t="s">
        <v>1625</v>
      </c>
      <c r="K718" s="15">
        <f>INDEX(数值规划表!$B$15:$B$18,MATCH(J718,攻击范围,0))</f>
        <v>1</v>
      </c>
      <c r="L718" s="70">
        <v>0.4</v>
      </c>
      <c r="M718" s="70">
        <v>5</v>
      </c>
      <c r="N718" s="15">
        <f t="shared" si="40"/>
        <v>30</v>
      </c>
      <c r="O718" s="15">
        <f t="shared" si="41"/>
        <v>0.89</v>
      </c>
      <c r="P718" s="15">
        <f>IF(G718,INDEX(monster!$J$2:$J$606,MATCH(skill!C718,monster!$A$2:$A$606,0)),Q718)</f>
        <v>4</v>
      </c>
      <c r="Q718" s="70">
        <v>4</v>
      </c>
      <c r="R718" s="52">
        <v>500</v>
      </c>
    </row>
    <row r="719" spans="1:18" s="38" customFormat="1" x14ac:dyDescent="0.15">
      <c r="A719" s="32">
        <v>10762</v>
      </c>
      <c r="B719" s="32" t="s">
        <v>1085</v>
      </c>
      <c r="C719" s="31">
        <v>1419</v>
      </c>
      <c r="D719" s="32">
        <v>2</v>
      </c>
      <c r="E719" s="15">
        <f>INDEX(monster!$H$2:$H$617,MATCH(skill!C719,monster!$A$2:$A$617,0))</f>
        <v>82.8</v>
      </c>
      <c r="F719" s="15">
        <f>INDEX(monster!$I$2:$I$617,MATCH(C719,monster!$A$2:$A$617,0))</f>
        <v>2.48</v>
      </c>
      <c r="G719" s="15" t="b">
        <f t="shared" si="38"/>
        <v>0</v>
      </c>
      <c r="H719" s="31">
        <v>0</v>
      </c>
      <c r="I719" s="15">
        <f>IF(H719&gt;0,HLOOKUP(R719/100,数值规划表!$B$37:$AA$39,3),1)</f>
        <v>1</v>
      </c>
      <c r="J719" s="31" t="s">
        <v>1625</v>
      </c>
      <c r="K719" s="15">
        <f>INDEX(数值规划表!$B$15:$B$18,MATCH(J719,攻击范围,0))</f>
        <v>1</v>
      </c>
      <c r="L719" s="70">
        <v>0.4</v>
      </c>
      <c r="M719" s="70">
        <v>5</v>
      </c>
      <c r="N719" s="15">
        <f t="shared" si="40"/>
        <v>33</v>
      </c>
      <c r="O719" s="15">
        <f t="shared" si="41"/>
        <v>0.99</v>
      </c>
      <c r="P719" s="15">
        <f>IF(G719,INDEX(monster!$J$2:$J$606,MATCH(skill!C719,monster!$A$2:$A$606,0)),Q719)</f>
        <v>4</v>
      </c>
      <c r="Q719" s="70">
        <v>4</v>
      </c>
      <c r="R719" s="52">
        <v>500</v>
      </c>
    </row>
    <row r="720" spans="1:18" s="38" customFormat="1" x14ac:dyDescent="0.15">
      <c r="A720" s="32">
        <v>10763</v>
      </c>
      <c r="B720" s="32" t="s">
        <v>1086</v>
      </c>
      <c r="C720" s="31">
        <v>1420</v>
      </c>
      <c r="D720" s="32">
        <v>3</v>
      </c>
      <c r="E720" s="15">
        <f>INDEX(monster!$H$2:$H$617,MATCH(skill!C720,monster!$A$2:$A$617,0))</f>
        <v>92.74</v>
      </c>
      <c r="F720" s="15">
        <f>INDEX(monster!$I$2:$I$617,MATCH(C720,monster!$A$2:$A$617,0))</f>
        <v>2.78</v>
      </c>
      <c r="G720" s="15" t="b">
        <f t="shared" si="38"/>
        <v>0</v>
      </c>
      <c r="H720" s="31">
        <v>0</v>
      </c>
      <c r="I720" s="15">
        <f>IF(H720&gt;0,HLOOKUP(R720/100,数值规划表!$B$37:$AA$39,3),1)</f>
        <v>1</v>
      </c>
      <c r="J720" s="31" t="s">
        <v>1625</v>
      </c>
      <c r="K720" s="15">
        <f>INDEX(数值规划表!$B$15:$B$18,MATCH(J720,攻击范围,0))</f>
        <v>1</v>
      </c>
      <c r="L720" s="70">
        <v>0.4</v>
      </c>
      <c r="M720" s="70">
        <v>5</v>
      </c>
      <c r="N720" s="15">
        <f t="shared" si="40"/>
        <v>37</v>
      </c>
      <c r="O720" s="15">
        <f t="shared" si="41"/>
        <v>1.1100000000000001</v>
      </c>
      <c r="P720" s="15">
        <f>IF(G720,INDEX(monster!$J$2:$J$606,MATCH(skill!C720,monster!$A$2:$A$606,0)),Q720)</f>
        <v>4</v>
      </c>
      <c r="Q720" s="70">
        <v>4</v>
      </c>
      <c r="R720" s="52">
        <v>500</v>
      </c>
    </row>
    <row r="721" spans="1:18" s="38" customFormat="1" x14ac:dyDescent="0.15">
      <c r="A721" s="32">
        <v>10764</v>
      </c>
      <c r="B721" s="32" t="s">
        <v>1087</v>
      </c>
      <c r="C721" s="31">
        <v>1421</v>
      </c>
      <c r="D721" s="32">
        <v>4</v>
      </c>
      <c r="E721" s="15">
        <f>INDEX(monster!$H$2:$H$617,MATCH(skill!C721,monster!$A$2:$A$617,0))</f>
        <v>103.87</v>
      </c>
      <c r="F721" s="15">
        <f>INDEX(monster!$I$2:$I$617,MATCH(C721,monster!$A$2:$A$617,0))</f>
        <v>3.12</v>
      </c>
      <c r="G721" s="15" t="b">
        <f t="shared" si="38"/>
        <v>0</v>
      </c>
      <c r="H721" s="31">
        <v>0</v>
      </c>
      <c r="I721" s="15">
        <f>IF(H721&gt;0,HLOOKUP(R721/100,数值规划表!$B$37:$AA$39,3),1)</f>
        <v>1</v>
      </c>
      <c r="J721" s="31" t="s">
        <v>1625</v>
      </c>
      <c r="K721" s="15">
        <f>INDEX(数值规划表!$B$15:$B$18,MATCH(J721,攻击范围,0))</f>
        <v>1</v>
      </c>
      <c r="L721" s="70">
        <v>0.4</v>
      </c>
      <c r="M721" s="70">
        <v>5</v>
      </c>
      <c r="N721" s="15">
        <f t="shared" si="40"/>
        <v>42</v>
      </c>
      <c r="O721" s="15">
        <f t="shared" si="41"/>
        <v>1.25</v>
      </c>
      <c r="P721" s="15">
        <f>IF(G721,INDEX(monster!$J$2:$J$606,MATCH(skill!C721,monster!$A$2:$A$606,0)),Q721)</f>
        <v>4</v>
      </c>
      <c r="Q721" s="70">
        <v>4</v>
      </c>
      <c r="R721" s="52">
        <v>500</v>
      </c>
    </row>
    <row r="722" spans="1:18" s="38" customFormat="1" x14ac:dyDescent="0.15">
      <c r="A722" s="32">
        <v>10765</v>
      </c>
      <c r="B722" s="32" t="s">
        <v>1088</v>
      </c>
      <c r="C722" s="31">
        <v>1422</v>
      </c>
      <c r="D722" s="32">
        <v>5</v>
      </c>
      <c r="E722" s="15">
        <f>INDEX(monster!$H$2:$H$617,MATCH(skill!C722,monster!$A$2:$A$617,0))</f>
        <v>116.33</v>
      </c>
      <c r="F722" s="15">
        <f>INDEX(monster!$I$2:$I$617,MATCH(C722,monster!$A$2:$A$617,0))</f>
        <v>3.49</v>
      </c>
      <c r="G722" s="15" t="b">
        <f t="shared" si="38"/>
        <v>0</v>
      </c>
      <c r="H722" s="31">
        <v>0</v>
      </c>
      <c r="I722" s="15">
        <f>IF(H722&gt;0,HLOOKUP(R722/100,数值规划表!$B$37:$AA$39,3),1)</f>
        <v>1</v>
      </c>
      <c r="J722" s="31" t="s">
        <v>1625</v>
      </c>
      <c r="K722" s="15">
        <f>INDEX(数值规划表!$B$15:$B$18,MATCH(J722,攻击范围,0))</f>
        <v>1</v>
      </c>
      <c r="L722" s="70">
        <v>0.4</v>
      </c>
      <c r="M722" s="70">
        <v>5</v>
      </c>
      <c r="N722" s="15">
        <f t="shared" si="40"/>
        <v>47</v>
      </c>
      <c r="O722" s="15">
        <f t="shared" si="41"/>
        <v>1.4</v>
      </c>
      <c r="P722" s="15">
        <f>IF(G722,INDEX(monster!$J$2:$J$606,MATCH(skill!C722,monster!$A$2:$A$606,0)),Q722)</f>
        <v>4</v>
      </c>
      <c r="Q722" s="70">
        <v>4</v>
      </c>
      <c r="R722" s="52">
        <v>500</v>
      </c>
    </row>
    <row r="723" spans="1:18" s="38" customFormat="1" x14ac:dyDescent="0.15">
      <c r="A723" s="32">
        <v>10766</v>
      </c>
      <c r="B723" s="32" t="s">
        <v>1089</v>
      </c>
      <c r="C723" s="31">
        <v>1423</v>
      </c>
      <c r="D723" s="32">
        <v>6</v>
      </c>
      <c r="E723" s="15">
        <f>INDEX(monster!$H$2:$H$617,MATCH(skill!C723,monster!$A$2:$A$617,0))</f>
        <v>130.29</v>
      </c>
      <c r="F723" s="15">
        <f>INDEX(monster!$I$2:$I$617,MATCH(C723,monster!$A$2:$A$617,0))</f>
        <v>3.91</v>
      </c>
      <c r="G723" s="15" t="b">
        <f t="shared" si="38"/>
        <v>0</v>
      </c>
      <c r="H723" s="31">
        <v>0</v>
      </c>
      <c r="I723" s="15">
        <f>IF(H723&gt;0,HLOOKUP(R723/100,数值规划表!$B$37:$AA$39,3),1)</f>
        <v>1</v>
      </c>
      <c r="J723" s="31" t="s">
        <v>1625</v>
      </c>
      <c r="K723" s="15">
        <f>INDEX(数值规划表!$B$15:$B$18,MATCH(J723,攻击范围,0))</f>
        <v>1</v>
      </c>
      <c r="L723" s="70">
        <v>0.4</v>
      </c>
      <c r="M723" s="70">
        <v>5</v>
      </c>
      <c r="N723" s="15">
        <f t="shared" si="40"/>
        <v>52</v>
      </c>
      <c r="O723" s="15">
        <f t="shared" si="41"/>
        <v>1.56</v>
      </c>
      <c r="P723" s="15">
        <f>IF(G723,INDEX(monster!$J$2:$J$606,MATCH(skill!C723,monster!$A$2:$A$606,0)),Q723)</f>
        <v>4</v>
      </c>
      <c r="Q723" s="70">
        <v>4</v>
      </c>
      <c r="R723" s="52">
        <v>500</v>
      </c>
    </row>
    <row r="724" spans="1:18" s="38" customFormat="1" x14ac:dyDescent="0.15">
      <c r="A724" s="32">
        <v>10767</v>
      </c>
      <c r="B724" s="32" t="s">
        <v>1090</v>
      </c>
      <c r="C724" s="31">
        <v>1424</v>
      </c>
      <c r="D724" s="32">
        <v>7</v>
      </c>
      <c r="E724" s="15">
        <f>INDEX(monster!$H$2:$H$617,MATCH(skill!C724,monster!$A$2:$A$617,0))</f>
        <v>145.93</v>
      </c>
      <c r="F724" s="15">
        <f>INDEX(monster!$I$2:$I$617,MATCH(C724,monster!$A$2:$A$617,0))</f>
        <v>4.38</v>
      </c>
      <c r="G724" s="15" t="b">
        <f t="shared" si="38"/>
        <v>0</v>
      </c>
      <c r="H724" s="31">
        <v>0</v>
      </c>
      <c r="I724" s="15">
        <f>IF(H724&gt;0,HLOOKUP(R724/100,数值规划表!$B$37:$AA$39,3),1)</f>
        <v>1</v>
      </c>
      <c r="J724" s="31" t="s">
        <v>1625</v>
      </c>
      <c r="K724" s="15">
        <f>INDEX(数值规划表!$B$15:$B$18,MATCH(J724,攻击范围,0))</f>
        <v>1</v>
      </c>
      <c r="L724" s="70">
        <v>0.4</v>
      </c>
      <c r="M724" s="70">
        <v>5</v>
      </c>
      <c r="N724" s="15">
        <f t="shared" si="40"/>
        <v>58</v>
      </c>
      <c r="O724" s="15">
        <f t="shared" si="41"/>
        <v>1.75</v>
      </c>
      <c r="P724" s="15">
        <f>IF(G724,INDEX(monster!$J$2:$J$606,MATCH(skill!C724,monster!$A$2:$A$606,0)),Q724)</f>
        <v>4</v>
      </c>
      <c r="Q724" s="70">
        <v>4</v>
      </c>
      <c r="R724" s="52">
        <v>500</v>
      </c>
    </row>
    <row r="725" spans="1:18" s="38" customFormat="1" x14ac:dyDescent="0.15">
      <c r="A725" s="32">
        <v>10768</v>
      </c>
      <c r="B725" s="32" t="s">
        <v>1091</v>
      </c>
      <c r="C725" s="31">
        <v>1425</v>
      </c>
      <c r="D725" s="32">
        <v>8</v>
      </c>
      <c r="E725" s="15">
        <f>INDEX(monster!$H$2:$H$617,MATCH(skill!C725,monster!$A$2:$A$617,0))</f>
        <v>163.44</v>
      </c>
      <c r="F725" s="15">
        <f>INDEX(monster!$I$2:$I$617,MATCH(C725,monster!$A$2:$A$617,0))</f>
        <v>4.9000000000000004</v>
      </c>
      <c r="G725" s="15" t="b">
        <f t="shared" si="38"/>
        <v>0</v>
      </c>
      <c r="H725" s="31">
        <v>0</v>
      </c>
      <c r="I725" s="15">
        <f>IF(H725&gt;0,HLOOKUP(R725/100,数值规划表!$B$37:$AA$39,3),1)</f>
        <v>1</v>
      </c>
      <c r="J725" s="31" t="s">
        <v>1625</v>
      </c>
      <c r="K725" s="15">
        <f>INDEX(数值规划表!$B$15:$B$18,MATCH(J725,攻击范围,0))</f>
        <v>1</v>
      </c>
      <c r="L725" s="70">
        <v>0.4</v>
      </c>
      <c r="M725" s="70">
        <v>5</v>
      </c>
      <c r="N725" s="15">
        <f t="shared" si="40"/>
        <v>65</v>
      </c>
      <c r="O725" s="15">
        <f t="shared" si="41"/>
        <v>1.96</v>
      </c>
      <c r="P725" s="15">
        <f>IF(G725,INDEX(monster!$J$2:$J$606,MATCH(skill!C725,monster!$A$2:$A$606,0)),Q725)</f>
        <v>4</v>
      </c>
      <c r="Q725" s="70">
        <v>4</v>
      </c>
      <c r="R725" s="52">
        <v>500</v>
      </c>
    </row>
    <row r="726" spans="1:18" s="38" customFormat="1" x14ac:dyDescent="0.15">
      <c r="A726" s="32">
        <v>10769</v>
      </c>
      <c r="B726" s="32" t="s">
        <v>1092</v>
      </c>
      <c r="C726" s="31">
        <v>1426</v>
      </c>
      <c r="D726" s="32">
        <v>9</v>
      </c>
      <c r="E726" s="15">
        <f>INDEX(monster!$H$2:$H$617,MATCH(skill!C726,monster!$A$2:$A$617,0))</f>
        <v>183.05</v>
      </c>
      <c r="F726" s="15">
        <f>INDEX(monster!$I$2:$I$617,MATCH(C726,monster!$A$2:$A$617,0))</f>
        <v>5.49</v>
      </c>
      <c r="G726" s="15" t="b">
        <f t="shared" si="38"/>
        <v>0</v>
      </c>
      <c r="H726" s="31">
        <v>0</v>
      </c>
      <c r="I726" s="15">
        <f>IF(H726&gt;0,HLOOKUP(R726/100,数值规划表!$B$37:$AA$39,3),1)</f>
        <v>1</v>
      </c>
      <c r="J726" s="31" t="s">
        <v>1625</v>
      </c>
      <c r="K726" s="15">
        <f>INDEX(数值规划表!$B$15:$B$18,MATCH(J726,攻击范围,0))</f>
        <v>1</v>
      </c>
      <c r="L726" s="70">
        <v>0.4</v>
      </c>
      <c r="M726" s="70">
        <v>5</v>
      </c>
      <c r="N726" s="15">
        <f t="shared" si="40"/>
        <v>73</v>
      </c>
      <c r="O726" s="15">
        <f t="shared" si="41"/>
        <v>2.2000000000000002</v>
      </c>
      <c r="P726" s="15">
        <f>IF(G726,INDEX(monster!$J$2:$J$606,MATCH(skill!C726,monster!$A$2:$A$606,0)),Q726)</f>
        <v>4</v>
      </c>
      <c r="Q726" s="70">
        <v>4</v>
      </c>
      <c r="R726" s="52">
        <v>500</v>
      </c>
    </row>
    <row r="727" spans="1:18" s="38" customFormat="1" x14ac:dyDescent="0.15">
      <c r="A727" s="32">
        <v>10770</v>
      </c>
      <c r="B727" s="32" t="s">
        <v>1093</v>
      </c>
      <c r="C727" s="31">
        <v>1427</v>
      </c>
      <c r="D727" s="32">
        <v>10</v>
      </c>
      <c r="E727" s="15">
        <f>INDEX(monster!$H$2:$H$617,MATCH(skill!C727,monster!$A$2:$A$617,0))</f>
        <v>205.02</v>
      </c>
      <c r="F727" s="15">
        <f>INDEX(monster!$I$2:$I$617,MATCH(C727,monster!$A$2:$A$617,0))</f>
        <v>6.15</v>
      </c>
      <c r="G727" s="15" t="b">
        <f t="shared" si="38"/>
        <v>0</v>
      </c>
      <c r="H727" s="31">
        <v>0</v>
      </c>
      <c r="I727" s="15">
        <f>IF(H727&gt;0,HLOOKUP(R727/100,数值规划表!$B$37:$AA$39,3),1)</f>
        <v>1</v>
      </c>
      <c r="J727" s="31" t="s">
        <v>1625</v>
      </c>
      <c r="K727" s="15">
        <f>INDEX(数值规划表!$B$15:$B$18,MATCH(J727,攻击范围,0))</f>
        <v>1</v>
      </c>
      <c r="L727" s="70">
        <v>0.4</v>
      </c>
      <c r="M727" s="70">
        <v>5</v>
      </c>
      <c r="N727" s="15">
        <f t="shared" si="40"/>
        <v>82</v>
      </c>
      <c r="O727" s="15">
        <f t="shared" si="41"/>
        <v>2.46</v>
      </c>
      <c r="P727" s="15">
        <f>IF(G727,INDEX(monster!$J$2:$J$606,MATCH(skill!C727,monster!$A$2:$A$606,0)),Q727)</f>
        <v>4</v>
      </c>
      <c r="Q727" s="70">
        <v>4</v>
      </c>
      <c r="R727" s="52">
        <v>500</v>
      </c>
    </row>
    <row r="728" spans="1:18" s="38" customFormat="1" x14ac:dyDescent="0.15">
      <c r="A728" s="32">
        <v>10771</v>
      </c>
      <c r="B728" s="32" t="s">
        <v>1536</v>
      </c>
      <c r="C728" s="31">
        <v>1428</v>
      </c>
      <c r="D728" s="32">
        <v>0</v>
      </c>
      <c r="E728" s="15">
        <f>INDEX(monster!$H$2:$H$617,MATCH(skill!C728,monster!$A$2:$A$617,0))</f>
        <v>80.569999999999993</v>
      </c>
      <c r="F728" s="15">
        <f>INDEX(monster!$I$2:$I$617,MATCH(C728,monster!$A$2:$A$617,0))</f>
        <v>2.42</v>
      </c>
      <c r="G728" s="15" t="b">
        <f t="shared" si="38"/>
        <v>1</v>
      </c>
      <c r="H728" s="31">
        <v>1</v>
      </c>
      <c r="I728" s="15">
        <f>IF(H728&gt;0,HLOOKUP(R728/100,数值规划表!$B$37:$AA$39,3),1)</f>
        <v>2.3760000000000003</v>
      </c>
      <c r="J728" s="31" t="s">
        <v>1627</v>
      </c>
      <c r="K728" s="15">
        <f>INDEX(数值规划表!$B$15:$B$18,MATCH(J728,攻击范围,0))</f>
        <v>0.7</v>
      </c>
      <c r="L728" s="30">
        <v>1</v>
      </c>
      <c r="M728" s="41">
        <v>0</v>
      </c>
      <c r="N728" s="15">
        <f t="shared" si="40"/>
        <v>134</v>
      </c>
      <c r="O728" s="15">
        <f t="shared" si="41"/>
        <v>4.0199999999999996</v>
      </c>
      <c r="P728" s="15">
        <f>IF(G728,INDEX(monster!$J$2:$J$606,MATCH(skill!C728,monster!$A$2:$A$606,0)),Q728)</f>
        <v>1.5</v>
      </c>
      <c r="Q728" s="70"/>
      <c r="R728" s="33">
        <v>180</v>
      </c>
    </row>
    <row r="729" spans="1:18" s="38" customFormat="1" x14ac:dyDescent="0.15">
      <c r="A729" s="32">
        <v>10772</v>
      </c>
      <c r="B729" s="32" t="s">
        <v>1537</v>
      </c>
      <c r="C729" s="31">
        <v>1429</v>
      </c>
      <c r="D729" s="32">
        <v>1</v>
      </c>
      <c r="E729" s="15">
        <f>INDEX(monster!$H$2:$H$617,MATCH(skill!C729,monster!$A$2:$A$617,0))</f>
        <v>90.24</v>
      </c>
      <c r="F729" s="15">
        <f>INDEX(monster!$I$2:$I$617,MATCH(C729,monster!$A$2:$A$617,0))</f>
        <v>2.71</v>
      </c>
      <c r="G729" s="15" t="b">
        <f t="shared" si="38"/>
        <v>1</v>
      </c>
      <c r="H729" s="31">
        <v>1</v>
      </c>
      <c r="I729" s="15">
        <f>IF(H729&gt;0,HLOOKUP(R729/100,数值规划表!$B$37:$AA$39,3),1)</f>
        <v>2.3760000000000003</v>
      </c>
      <c r="J729" s="31" t="s">
        <v>1627</v>
      </c>
      <c r="K729" s="15">
        <f>INDEX(数值规划表!$B$15:$B$18,MATCH(J729,攻击范围,0))</f>
        <v>0.7</v>
      </c>
      <c r="L729" s="30">
        <v>1</v>
      </c>
      <c r="M729" s="41">
        <v>0</v>
      </c>
      <c r="N729" s="15">
        <f t="shared" si="40"/>
        <v>150</v>
      </c>
      <c r="O729" s="15">
        <f t="shared" si="41"/>
        <v>4.51</v>
      </c>
      <c r="P729" s="15">
        <f>IF(G729,INDEX(monster!$J$2:$J$606,MATCH(skill!C729,monster!$A$2:$A$606,0)),Q729)</f>
        <v>1.5</v>
      </c>
      <c r="Q729" s="70"/>
      <c r="R729" s="33">
        <v>180</v>
      </c>
    </row>
    <row r="730" spans="1:18" s="38" customFormat="1" x14ac:dyDescent="0.15">
      <c r="A730" s="32">
        <v>10773</v>
      </c>
      <c r="B730" s="32" t="s">
        <v>1094</v>
      </c>
      <c r="C730" s="31">
        <v>1430</v>
      </c>
      <c r="D730" s="32">
        <v>2</v>
      </c>
      <c r="E730" s="15">
        <f>INDEX(monster!$H$2:$H$617,MATCH(skill!C730,monster!$A$2:$A$617,0))</f>
        <v>101.07</v>
      </c>
      <c r="F730" s="15">
        <f>INDEX(monster!$I$2:$I$617,MATCH(C730,monster!$A$2:$A$617,0))</f>
        <v>3.03</v>
      </c>
      <c r="G730" s="15" t="b">
        <f t="shared" si="38"/>
        <v>1</v>
      </c>
      <c r="H730" s="31">
        <v>1</v>
      </c>
      <c r="I730" s="15">
        <f>IF(H730&gt;0,HLOOKUP(R730/100,数值规划表!$B$37:$AA$39,3),1)</f>
        <v>2.3760000000000003</v>
      </c>
      <c r="J730" s="31" t="s">
        <v>1627</v>
      </c>
      <c r="K730" s="15">
        <f>INDEX(数值规划表!$B$15:$B$18,MATCH(J730,攻击范围,0))</f>
        <v>0.7</v>
      </c>
      <c r="L730" s="30">
        <v>1</v>
      </c>
      <c r="M730" s="41">
        <v>0</v>
      </c>
      <c r="N730" s="15">
        <f t="shared" si="40"/>
        <v>168</v>
      </c>
      <c r="O730" s="15">
        <f t="shared" si="41"/>
        <v>5.04</v>
      </c>
      <c r="P730" s="15">
        <f>IF(G730,INDEX(monster!$J$2:$J$606,MATCH(skill!C730,monster!$A$2:$A$606,0)),Q730)</f>
        <v>1.5</v>
      </c>
      <c r="Q730" s="70"/>
      <c r="R730" s="33">
        <v>180</v>
      </c>
    </row>
    <row r="731" spans="1:18" s="38" customFormat="1" x14ac:dyDescent="0.15">
      <c r="A731" s="32">
        <v>10774</v>
      </c>
      <c r="B731" s="32" t="s">
        <v>1095</v>
      </c>
      <c r="C731" s="31">
        <v>1431</v>
      </c>
      <c r="D731" s="32">
        <v>3</v>
      </c>
      <c r="E731" s="15">
        <f>INDEX(monster!$H$2:$H$617,MATCH(skill!C731,monster!$A$2:$A$617,0))</f>
        <v>113.2</v>
      </c>
      <c r="F731" s="15">
        <f>INDEX(monster!$I$2:$I$617,MATCH(C731,monster!$A$2:$A$617,0))</f>
        <v>3.4</v>
      </c>
      <c r="G731" s="15" t="b">
        <f t="shared" si="38"/>
        <v>1</v>
      </c>
      <c r="H731" s="31">
        <v>1</v>
      </c>
      <c r="I731" s="15">
        <f>IF(H731&gt;0,HLOOKUP(R731/100,数值规划表!$B$37:$AA$39,3),1)</f>
        <v>2.3760000000000003</v>
      </c>
      <c r="J731" s="31" t="s">
        <v>1627</v>
      </c>
      <c r="K731" s="15">
        <f>INDEX(数值规划表!$B$15:$B$18,MATCH(J731,攻击范围,0))</f>
        <v>0.7</v>
      </c>
      <c r="L731" s="30">
        <v>1</v>
      </c>
      <c r="M731" s="41">
        <v>0</v>
      </c>
      <c r="N731" s="15">
        <f t="shared" si="40"/>
        <v>188</v>
      </c>
      <c r="O731" s="15">
        <f t="shared" si="41"/>
        <v>5.65</v>
      </c>
      <c r="P731" s="15">
        <f>IF(G731,INDEX(monster!$J$2:$J$606,MATCH(skill!C731,monster!$A$2:$A$606,0)),Q731)</f>
        <v>1.5</v>
      </c>
      <c r="Q731" s="70"/>
      <c r="R731" s="33">
        <v>180</v>
      </c>
    </row>
    <row r="732" spans="1:18" s="38" customFormat="1" x14ac:dyDescent="0.15">
      <c r="A732" s="32">
        <v>10775</v>
      </c>
      <c r="B732" s="32" t="s">
        <v>1096</v>
      </c>
      <c r="C732" s="31">
        <v>1432</v>
      </c>
      <c r="D732" s="32">
        <v>4</v>
      </c>
      <c r="E732" s="15">
        <f>INDEX(monster!$H$2:$H$617,MATCH(skill!C732,monster!$A$2:$A$617,0))</f>
        <v>126.78</v>
      </c>
      <c r="F732" s="15">
        <f>INDEX(monster!$I$2:$I$617,MATCH(C732,monster!$A$2:$A$617,0))</f>
        <v>3.8</v>
      </c>
      <c r="G732" s="15" t="b">
        <f t="shared" si="38"/>
        <v>1</v>
      </c>
      <c r="H732" s="31">
        <v>1</v>
      </c>
      <c r="I732" s="15">
        <f>IF(H732&gt;0,HLOOKUP(R732/100,数值规划表!$B$37:$AA$39,3),1)</f>
        <v>2.3760000000000003</v>
      </c>
      <c r="J732" s="31" t="s">
        <v>1627</v>
      </c>
      <c r="K732" s="15">
        <f>INDEX(数值规划表!$B$15:$B$18,MATCH(J732,攻击范围,0))</f>
        <v>0.7</v>
      </c>
      <c r="L732" s="30">
        <v>1</v>
      </c>
      <c r="M732" s="41">
        <v>0</v>
      </c>
      <c r="N732" s="15">
        <f t="shared" si="40"/>
        <v>211</v>
      </c>
      <c r="O732" s="15">
        <f t="shared" si="41"/>
        <v>6.32</v>
      </c>
      <c r="P732" s="15">
        <f>IF(G732,INDEX(monster!$J$2:$J$606,MATCH(skill!C732,monster!$A$2:$A$606,0)),Q732)</f>
        <v>1.5</v>
      </c>
      <c r="Q732" s="70"/>
      <c r="R732" s="33">
        <v>180</v>
      </c>
    </row>
    <row r="733" spans="1:18" s="38" customFormat="1" x14ac:dyDescent="0.15">
      <c r="A733" s="32">
        <v>10776</v>
      </c>
      <c r="B733" s="32" t="s">
        <v>1097</v>
      </c>
      <c r="C733" s="31">
        <v>1433</v>
      </c>
      <c r="D733" s="32">
        <v>5</v>
      </c>
      <c r="E733" s="15">
        <f>INDEX(monster!$H$2:$H$617,MATCH(skill!C733,monster!$A$2:$A$617,0))</f>
        <v>141.99</v>
      </c>
      <c r="F733" s="15">
        <f>INDEX(monster!$I$2:$I$617,MATCH(C733,monster!$A$2:$A$617,0))</f>
        <v>4.26</v>
      </c>
      <c r="G733" s="15" t="b">
        <f t="shared" ref="G733:G796" si="43">ISNUMBER(FIND("普攻",B733))</f>
        <v>1</v>
      </c>
      <c r="H733" s="31">
        <v>1</v>
      </c>
      <c r="I733" s="15">
        <f>IF(H733&gt;0,HLOOKUP(R733/100,数值规划表!$B$37:$AA$39,3),1)</f>
        <v>2.3760000000000003</v>
      </c>
      <c r="J733" s="31" t="s">
        <v>1627</v>
      </c>
      <c r="K733" s="15">
        <f>INDEX(数值规划表!$B$15:$B$18,MATCH(J733,攻击范围,0))</f>
        <v>0.7</v>
      </c>
      <c r="L733" s="30">
        <v>1</v>
      </c>
      <c r="M733" s="41">
        <v>0</v>
      </c>
      <c r="N733" s="15">
        <f t="shared" si="40"/>
        <v>236</v>
      </c>
      <c r="O733" s="15">
        <f t="shared" si="41"/>
        <v>7.09</v>
      </c>
      <c r="P733" s="15">
        <f>IF(G733,INDEX(monster!$J$2:$J$606,MATCH(skill!C733,monster!$A$2:$A$606,0)),Q733)</f>
        <v>1.5</v>
      </c>
      <c r="Q733" s="70"/>
      <c r="R733" s="33">
        <v>180</v>
      </c>
    </row>
    <row r="734" spans="1:18" s="38" customFormat="1" x14ac:dyDescent="0.15">
      <c r="A734" s="32">
        <v>10777</v>
      </c>
      <c r="B734" s="32" t="s">
        <v>1098</v>
      </c>
      <c r="C734" s="31">
        <v>1434</v>
      </c>
      <c r="D734" s="32">
        <v>6</v>
      </c>
      <c r="E734" s="15">
        <f>INDEX(monster!$H$2:$H$617,MATCH(skill!C734,monster!$A$2:$A$617,0))</f>
        <v>159.03</v>
      </c>
      <c r="F734" s="15">
        <f>INDEX(monster!$I$2:$I$617,MATCH(C734,monster!$A$2:$A$617,0))</f>
        <v>4.7699999999999996</v>
      </c>
      <c r="G734" s="15" t="b">
        <f t="shared" si="43"/>
        <v>1</v>
      </c>
      <c r="H734" s="31">
        <v>1</v>
      </c>
      <c r="I734" s="15">
        <f>IF(H734&gt;0,HLOOKUP(R734/100,数值规划表!$B$37:$AA$39,3),1)</f>
        <v>2.3760000000000003</v>
      </c>
      <c r="J734" s="31" t="s">
        <v>1627</v>
      </c>
      <c r="K734" s="15">
        <f>INDEX(数值规划表!$B$15:$B$18,MATCH(J734,攻击范围,0))</f>
        <v>0.7</v>
      </c>
      <c r="L734" s="30">
        <v>1</v>
      </c>
      <c r="M734" s="41">
        <v>0</v>
      </c>
      <c r="N734" s="15">
        <f t="shared" si="40"/>
        <v>264</v>
      </c>
      <c r="O734" s="15">
        <f t="shared" si="41"/>
        <v>7.93</v>
      </c>
      <c r="P734" s="15">
        <f>IF(G734,INDEX(monster!$J$2:$J$606,MATCH(skill!C734,monster!$A$2:$A$606,0)),Q734)</f>
        <v>1.5</v>
      </c>
      <c r="Q734" s="70"/>
      <c r="R734" s="33">
        <v>180</v>
      </c>
    </row>
    <row r="735" spans="1:18" s="38" customFormat="1" x14ac:dyDescent="0.15">
      <c r="A735" s="32">
        <v>10778</v>
      </c>
      <c r="B735" s="32" t="s">
        <v>1099</v>
      </c>
      <c r="C735" s="31">
        <v>1435</v>
      </c>
      <c r="D735" s="32">
        <v>7</v>
      </c>
      <c r="E735" s="15">
        <f>INDEX(monster!$H$2:$H$617,MATCH(skill!C735,monster!$A$2:$A$617,0))</f>
        <v>178.11</v>
      </c>
      <c r="F735" s="15">
        <f>INDEX(monster!$I$2:$I$617,MATCH(C735,monster!$A$2:$A$617,0))</f>
        <v>5.34</v>
      </c>
      <c r="G735" s="15" t="b">
        <f t="shared" si="43"/>
        <v>1</v>
      </c>
      <c r="H735" s="31">
        <v>1</v>
      </c>
      <c r="I735" s="15">
        <f>IF(H735&gt;0,HLOOKUP(R735/100,数值规划表!$B$37:$AA$39,3),1)</f>
        <v>2.3760000000000003</v>
      </c>
      <c r="J735" s="31" t="s">
        <v>1627</v>
      </c>
      <c r="K735" s="15">
        <f>INDEX(数值规划表!$B$15:$B$18,MATCH(J735,攻击范围,0))</f>
        <v>0.7</v>
      </c>
      <c r="L735" s="30">
        <v>1</v>
      </c>
      <c r="M735" s="41">
        <v>0</v>
      </c>
      <c r="N735" s="15">
        <f t="shared" si="40"/>
        <v>296</v>
      </c>
      <c r="O735" s="15">
        <f t="shared" si="41"/>
        <v>8.8800000000000008</v>
      </c>
      <c r="P735" s="15">
        <f>IF(G735,INDEX(monster!$J$2:$J$606,MATCH(skill!C735,monster!$A$2:$A$606,0)),Q735)</f>
        <v>1.5</v>
      </c>
      <c r="Q735" s="70"/>
      <c r="R735" s="33">
        <v>180</v>
      </c>
    </row>
    <row r="736" spans="1:18" s="38" customFormat="1" x14ac:dyDescent="0.15">
      <c r="A736" s="32">
        <v>10779</v>
      </c>
      <c r="B736" s="32" t="s">
        <v>1100</v>
      </c>
      <c r="C736" s="31">
        <v>1436</v>
      </c>
      <c r="D736" s="32">
        <v>8</v>
      </c>
      <c r="E736" s="15">
        <f>INDEX(monster!$H$2:$H$617,MATCH(skill!C736,monster!$A$2:$A$617,0))</f>
        <v>199.49</v>
      </c>
      <c r="F736" s="15">
        <f>INDEX(monster!$I$2:$I$617,MATCH(C736,monster!$A$2:$A$617,0))</f>
        <v>5.98</v>
      </c>
      <c r="G736" s="15" t="b">
        <f t="shared" si="43"/>
        <v>1</v>
      </c>
      <c r="H736" s="31">
        <v>1</v>
      </c>
      <c r="I736" s="15">
        <f>IF(H736&gt;0,HLOOKUP(R736/100,数值规划表!$B$37:$AA$39,3),1)</f>
        <v>2.3760000000000003</v>
      </c>
      <c r="J736" s="31" t="s">
        <v>1627</v>
      </c>
      <c r="K736" s="15">
        <f>INDEX(数值规划表!$B$15:$B$18,MATCH(J736,攻击范围,0))</f>
        <v>0.7</v>
      </c>
      <c r="L736" s="30">
        <v>1</v>
      </c>
      <c r="M736" s="41">
        <v>0</v>
      </c>
      <c r="N736" s="15">
        <f t="shared" si="40"/>
        <v>332</v>
      </c>
      <c r="O736" s="15">
        <f t="shared" si="41"/>
        <v>9.9499999999999993</v>
      </c>
      <c r="P736" s="15">
        <f>IF(G736,INDEX(monster!$J$2:$J$606,MATCH(skill!C736,monster!$A$2:$A$606,0)),Q736)</f>
        <v>1.5</v>
      </c>
      <c r="Q736" s="70"/>
      <c r="R736" s="33">
        <v>180</v>
      </c>
    </row>
    <row r="737" spans="1:18" s="38" customFormat="1" x14ac:dyDescent="0.15">
      <c r="A737" s="32">
        <v>10780</v>
      </c>
      <c r="B737" s="32" t="s">
        <v>1101</v>
      </c>
      <c r="C737" s="31">
        <v>1437</v>
      </c>
      <c r="D737" s="32">
        <v>9</v>
      </c>
      <c r="E737" s="15">
        <f>INDEX(monster!$H$2:$H$617,MATCH(skill!C737,monster!$A$2:$A$617,0))</f>
        <v>223.43</v>
      </c>
      <c r="F737" s="15">
        <f>INDEX(monster!$I$2:$I$617,MATCH(C737,monster!$A$2:$A$617,0))</f>
        <v>6.7</v>
      </c>
      <c r="G737" s="15" t="b">
        <f t="shared" si="43"/>
        <v>1</v>
      </c>
      <c r="H737" s="31">
        <v>1</v>
      </c>
      <c r="I737" s="15">
        <f>IF(H737&gt;0,HLOOKUP(R737/100,数值规划表!$B$37:$AA$39,3),1)</f>
        <v>2.3760000000000003</v>
      </c>
      <c r="J737" s="31" t="s">
        <v>1627</v>
      </c>
      <c r="K737" s="15">
        <f>INDEX(数值规划表!$B$15:$B$18,MATCH(J737,攻击范围,0))</f>
        <v>0.7</v>
      </c>
      <c r="L737" s="30">
        <v>1</v>
      </c>
      <c r="M737" s="41">
        <v>0</v>
      </c>
      <c r="N737" s="15">
        <f t="shared" si="40"/>
        <v>372</v>
      </c>
      <c r="O737" s="15">
        <f t="shared" si="41"/>
        <v>11.14</v>
      </c>
      <c r="P737" s="15">
        <f>IF(G737,INDEX(monster!$J$2:$J$606,MATCH(skill!C737,monster!$A$2:$A$606,0)),Q737)</f>
        <v>1.5</v>
      </c>
      <c r="Q737" s="70"/>
      <c r="R737" s="33">
        <v>180</v>
      </c>
    </row>
    <row r="738" spans="1:18" s="38" customFormat="1" x14ac:dyDescent="0.15">
      <c r="A738" s="32">
        <v>10781</v>
      </c>
      <c r="B738" s="32" t="s">
        <v>1102</v>
      </c>
      <c r="C738" s="31">
        <v>1438</v>
      </c>
      <c r="D738" s="32">
        <v>10</v>
      </c>
      <c r="E738" s="15">
        <f>INDEX(monster!$H$2:$H$617,MATCH(skill!C738,monster!$A$2:$A$617,0))</f>
        <v>250.24</v>
      </c>
      <c r="F738" s="15">
        <f>INDEX(monster!$I$2:$I$617,MATCH(C738,monster!$A$2:$A$617,0))</f>
        <v>7.51</v>
      </c>
      <c r="G738" s="15" t="b">
        <f t="shared" si="43"/>
        <v>1</v>
      </c>
      <c r="H738" s="31">
        <v>1</v>
      </c>
      <c r="I738" s="15">
        <f>IF(H738&gt;0,HLOOKUP(R738/100,数值规划表!$B$37:$AA$39,3),1)</f>
        <v>2.3760000000000003</v>
      </c>
      <c r="J738" s="31" t="s">
        <v>1627</v>
      </c>
      <c r="K738" s="15">
        <f>INDEX(数值规划表!$B$15:$B$18,MATCH(J738,攻击范围,0))</f>
        <v>0.7</v>
      </c>
      <c r="L738" s="30">
        <v>1</v>
      </c>
      <c r="M738" s="41">
        <v>0</v>
      </c>
      <c r="N738" s="15">
        <f t="shared" si="40"/>
        <v>416</v>
      </c>
      <c r="O738" s="15">
        <f t="shared" si="41"/>
        <v>12.49</v>
      </c>
      <c r="P738" s="15">
        <f>IF(G738,INDEX(monster!$J$2:$J$606,MATCH(skill!C738,monster!$A$2:$A$606,0)),Q738)</f>
        <v>1.5</v>
      </c>
      <c r="Q738" s="70"/>
      <c r="R738" s="33">
        <v>180</v>
      </c>
    </row>
    <row r="739" spans="1:18" x14ac:dyDescent="0.15">
      <c r="A739" s="32">
        <v>10782</v>
      </c>
      <c r="B739" s="32" t="s">
        <v>1538</v>
      </c>
      <c r="C739" s="31">
        <v>1428</v>
      </c>
      <c r="D739" s="32">
        <v>0</v>
      </c>
      <c r="E739" s="15">
        <f>INDEX(monster!$H$2:$H$617,MATCH(skill!C739,monster!$A$2:$A$617,0))</f>
        <v>80.569999999999993</v>
      </c>
      <c r="F739" s="15">
        <f>INDEX(monster!$I$2:$I$617,MATCH(C739,monster!$A$2:$A$617,0))</f>
        <v>2.42</v>
      </c>
      <c r="G739" s="15" t="b">
        <f t="shared" si="43"/>
        <v>0</v>
      </c>
      <c r="H739" s="31">
        <v>0</v>
      </c>
      <c r="I739" s="15">
        <f>IF(H739&gt;0,HLOOKUP(R739/100,数值规划表!$B$37:$AA$39,3),1)</f>
        <v>1</v>
      </c>
      <c r="J739" s="31" t="s">
        <v>1625</v>
      </c>
      <c r="K739" s="15">
        <f>INDEX(数值规划表!$B$15:$B$18,MATCH(J739,攻击范围,0))</f>
        <v>1</v>
      </c>
      <c r="L739" s="30">
        <v>1</v>
      </c>
      <c r="M739" s="41">
        <v>0</v>
      </c>
      <c r="N739" s="15">
        <f t="shared" si="40"/>
        <v>81</v>
      </c>
      <c r="O739" s="15">
        <f t="shared" si="41"/>
        <v>2.42</v>
      </c>
      <c r="P739" s="15">
        <f>IF(G739,INDEX(monster!$J$2:$J$606,MATCH(skill!C739,monster!$A$2:$A$606,0)),Q739)</f>
        <v>0</v>
      </c>
      <c r="R739" s="33">
        <v>100</v>
      </c>
    </row>
    <row r="740" spans="1:18" x14ac:dyDescent="0.15">
      <c r="A740" s="32">
        <v>10783</v>
      </c>
      <c r="B740" s="32" t="s">
        <v>1539</v>
      </c>
      <c r="C740" s="31">
        <v>1429</v>
      </c>
      <c r="D740" s="32">
        <v>1</v>
      </c>
      <c r="E740" s="15">
        <f>INDEX(monster!$H$2:$H$617,MATCH(skill!C740,monster!$A$2:$A$617,0))</f>
        <v>90.24</v>
      </c>
      <c r="F740" s="15">
        <f>INDEX(monster!$I$2:$I$617,MATCH(C740,monster!$A$2:$A$617,0))</f>
        <v>2.71</v>
      </c>
      <c r="G740" s="15" t="b">
        <f t="shared" si="43"/>
        <v>0</v>
      </c>
      <c r="H740" s="31">
        <v>0</v>
      </c>
      <c r="I740" s="15">
        <f>IF(H740&gt;0,HLOOKUP(R740/100,数值规划表!$B$37:$AA$39,3),1)</f>
        <v>1</v>
      </c>
      <c r="J740" s="31" t="s">
        <v>1625</v>
      </c>
      <c r="K740" s="15">
        <f>INDEX(数值规划表!$B$15:$B$18,MATCH(J740,攻击范围,0))</f>
        <v>1</v>
      </c>
      <c r="L740" s="30">
        <v>1</v>
      </c>
      <c r="M740" s="41">
        <v>0</v>
      </c>
      <c r="N740" s="15">
        <f t="shared" si="40"/>
        <v>90</v>
      </c>
      <c r="O740" s="15">
        <f t="shared" si="41"/>
        <v>2.71</v>
      </c>
      <c r="P740" s="15">
        <f>IF(G740,INDEX(monster!$J$2:$J$606,MATCH(skill!C740,monster!$A$2:$A$606,0)),Q740)</f>
        <v>0</v>
      </c>
      <c r="R740" s="33">
        <v>100</v>
      </c>
    </row>
    <row r="741" spans="1:18" x14ac:dyDescent="0.15">
      <c r="A741" s="32">
        <v>10784</v>
      </c>
      <c r="B741" s="32" t="s">
        <v>1103</v>
      </c>
      <c r="C741" s="31">
        <v>1430</v>
      </c>
      <c r="D741" s="32">
        <v>2</v>
      </c>
      <c r="E741" s="15">
        <f>INDEX(monster!$H$2:$H$617,MATCH(skill!C741,monster!$A$2:$A$617,0))</f>
        <v>101.07</v>
      </c>
      <c r="F741" s="15">
        <f>INDEX(monster!$I$2:$I$617,MATCH(C741,monster!$A$2:$A$617,0))</f>
        <v>3.03</v>
      </c>
      <c r="G741" s="15" t="b">
        <f t="shared" si="43"/>
        <v>0</v>
      </c>
      <c r="H741" s="31">
        <v>0</v>
      </c>
      <c r="I741" s="15">
        <f>IF(H741&gt;0,HLOOKUP(R741/100,数值规划表!$B$37:$AA$39,3),1)</f>
        <v>1</v>
      </c>
      <c r="J741" s="31" t="s">
        <v>1625</v>
      </c>
      <c r="K741" s="15">
        <f>INDEX(数值规划表!$B$15:$B$18,MATCH(J741,攻击范围,0))</f>
        <v>1</v>
      </c>
      <c r="L741" s="30">
        <v>1</v>
      </c>
      <c r="M741" s="41">
        <v>0</v>
      </c>
      <c r="N741" s="15">
        <f t="shared" si="40"/>
        <v>101</v>
      </c>
      <c r="O741" s="15">
        <f t="shared" si="41"/>
        <v>3.03</v>
      </c>
      <c r="P741" s="15">
        <f>IF(G741,INDEX(monster!$J$2:$J$606,MATCH(skill!C741,monster!$A$2:$A$606,0)),Q741)</f>
        <v>0</v>
      </c>
      <c r="R741" s="33">
        <v>100</v>
      </c>
    </row>
    <row r="742" spans="1:18" x14ac:dyDescent="0.15">
      <c r="A742" s="32">
        <v>10785</v>
      </c>
      <c r="B742" s="32" t="s">
        <v>1104</v>
      </c>
      <c r="C742" s="31">
        <v>1431</v>
      </c>
      <c r="D742" s="32">
        <v>3</v>
      </c>
      <c r="E742" s="15">
        <f>INDEX(monster!$H$2:$H$617,MATCH(skill!C742,monster!$A$2:$A$617,0))</f>
        <v>113.2</v>
      </c>
      <c r="F742" s="15">
        <f>INDEX(monster!$I$2:$I$617,MATCH(C742,monster!$A$2:$A$617,0))</f>
        <v>3.4</v>
      </c>
      <c r="G742" s="15" t="b">
        <f t="shared" si="43"/>
        <v>0</v>
      </c>
      <c r="H742" s="31">
        <v>0</v>
      </c>
      <c r="I742" s="15">
        <f>IF(H742&gt;0,HLOOKUP(R742/100,数值规划表!$B$37:$AA$39,3),1)</f>
        <v>1</v>
      </c>
      <c r="J742" s="31" t="s">
        <v>1625</v>
      </c>
      <c r="K742" s="15">
        <f>INDEX(数值规划表!$B$15:$B$18,MATCH(J742,攻击范围,0))</f>
        <v>1</v>
      </c>
      <c r="L742" s="30">
        <v>1</v>
      </c>
      <c r="M742" s="41">
        <v>0</v>
      </c>
      <c r="N742" s="15">
        <f t="shared" si="40"/>
        <v>113</v>
      </c>
      <c r="O742" s="15">
        <f t="shared" si="41"/>
        <v>3.4</v>
      </c>
      <c r="P742" s="15">
        <f>IF(G742,INDEX(monster!$J$2:$J$606,MATCH(skill!C742,monster!$A$2:$A$606,0)),Q742)</f>
        <v>0</v>
      </c>
      <c r="R742" s="33">
        <v>100</v>
      </c>
    </row>
    <row r="743" spans="1:18" x14ac:dyDescent="0.15">
      <c r="A743" s="32">
        <v>10786</v>
      </c>
      <c r="B743" s="32" t="s">
        <v>1105</v>
      </c>
      <c r="C743" s="31">
        <v>1432</v>
      </c>
      <c r="D743" s="32">
        <v>4</v>
      </c>
      <c r="E743" s="15">
        <f>INDEX(monster!$H$2:$H$617,MATCH(skill!C743,monster!$A$2:$A$617,0))</f>
        <v>126.78</v>
      </c>
      <c r="F743" s="15">
        <f>INDEX(monster!$I$2:$I$617,MATCH(C743,monster!$A$2:$A$617,0))</f>
        <v>3.8</v>
      </c>
      <c r="G743" s="15" t="b">
        <f t="shared" si="43"/>
        <v>0</v>
      </c>
      <c r="H743" s="31">
        <v>0</v>
      </c>
      <c r="I743" s="15">
        <f>IF(H743&gt;0,HLOOKUP(R743/100,数值规划表!$B$37:$AA$39,3),1)</f>
        <v>1</v>
      </c>
      <c r="J743" s="31" t="s">
        <v>1625</v>
      </c>
      <c r="K743" s="15">
        <f>INDEX(数值规划表!$B$15:$B$18,MATCH(J743,攻击范围,0))</f>
        <v>1</v>
      </c>
      <c r="L743" s="30">
        <v>1</v>
      </c>
      <c r="M743" s="41">
        <v>0</v>
      </c>
      <c r="N743" s="15">
        <f t="shared" si="40"/>
        <v>127</v>
      </c>
      <c r="O743" s="15">
        <f t="shared" si="41"/>
        <v>3.8</v>
      </c>
      <c r="P743" s="15">
        <f>IF(G743,INDEX(monster!$J$2:$J$606,MATCH(skill!C743,monster!$A$2:$A$606,0)),Q743)</f>
        <v>0</v>
      </c>
      <c r="R743" s="33">
        <v>100</v>
      </c>
    </row>
    <row r="744" spans="1:18" x14ac:dyDescent="0.15">
      <c r="A744" s="32">
        <v>10787</v>
      </c>
      <c r="B744" s="32" t="s">
        <v>1106</v>
      </c>
      <c r="C744" s="31">
        <v>1433</v>
      </c>
      <c r="D744" s="32">
        <v>5</v>
      </c>
      <c r="E744" s="15">
        <f>INDEX(monster!$H$2:$H$617,MATCH(skill!C744,monster!$A$2:$A$617,0))</f>
        <v>141.99</v>
      </c>
      <c r="F744" s="15">
        <f>INDEX(monster!$I$2:$I$617,MATCH(C744,monster!$A$2:$A$617,0))</f>
        <v>4.26</v>
      </c>
      <c r="G744" s="15" t="b">
        <f t="shared" si="43"/>
        <v>0</v>
      </c>
      <c r="H744" s="31">
        <v>0</v>
      </c>
      <c r="I744" s="15">
        <f>IF(H744&gt;0,HLOOKUP(R744/100,数值规划表!$B$37:$AA$39,3),1)</f>
        <v>1</v>
      </c>
      <c r="J744" s="31" t="s">
        <v>1625</v>
      </c>
      <c r="K744" s="15">
        <f>INDEX(数值规划表!$B$15:$B$18,MATCH(J744,攻击范围,0))</f>
        <v>1</v>
      </c>
      <c r="L744" s="30">
        <v>1</v>
      </c>
      <c r="M744" s="41">
        <v>0</v>
      </c>
      <c r="N744" s="15">
        <f t="shared" si="40"/>
        <v>142</v>
      </c>
      <c r="O744" s="15">
        <f t="shared" si="41"/>
        <v>4.26</v>
      </c>
      <c r="P744" s="15">
        <f>IF(G744,INDEX(monster!$J$2:$J$606,MATCH(skill!C744,monster!$A$2:$A$606,0)),Q744)</f>
        <v>0</v>
      </c>
      <c r="R744" s="33">
        <v>100</v>
      </c>
    </row>
    <row r="745" spans="1:18" x14ac:dyDescent="0.15">
      <c r="A745" s="32">
        <v>10788</v>
      </c>
      <c r="B745" s="32" t="s">
        <v>1107</v>
      </c>
      <c r="C745" s="31">
        <v>1434</v>
      </c>
      <c r="D745" s="32">
        <v>6</v>
      </c>
      <c r="E745" s="15">
        <f>INDEX(monster!$H$2:$H$617,MATCH(skill!C745,monster!$A$2:$A$617,0))</f>
        <v>159.03</v>
      </c>
      <c r="F745" s="15">
        <f>INDEX(monster!$I$2:$I$617,MATCH(C745,monster!$A$2:$A$617,0))</f>
        <v>4.7699999999999996</v>
      </c>
      <c r="G745" s="15" t="b">
        <f t="shared" si="43"/>
        <v>0</v>
      </c>
      <c r="H745" s="31">
        <v>0</v>
      </c>
      <c r="I745" s="15">
        <f>IF(H745&gt;0,HLOOKUP(R745/100,数值规划表!$B$37:$AA$39,3),1)</f>
        <v>1</v>
      </c>
      <c r="J745" s="31" t="s">
        <v>1625</v>
      </c>
      <c r="K745" s="15">
        <f>INDEX(数值规划表!$B$15:$B$18,MATCH(J745,攻击范围,0))</f>
        <v>1</v>
      </c>
      <c r="L745" s="30">
        <v>1</v>
      </c>
      <c r="M745" s="41">
        <v>0</v>
      </c>
      <c r="N745" s="15">
        <f t="shared" si="40"/>
        <v>159</v>
      </c>
      <c r="O745" s="15">
        <f t="shared" si="41"/>
        <v>4.7699999999999996</v>
      </c>
      <c r="P745" s="15">
        <f>IF(G745,INDEX(monster!$J$2:$J$606,MATCH(skill!C745,monster!$A$2:$A$606,0)),Q745)</f>
        <v>0</v>
      </c>
      <c r="R745" s="33">
        <v>100</v>
      </c>
    </row>
    <row r="746" spans="1:18" x14ac:dyDescent="0.15">
      <c r="A746" s="32">
        <v>10789</v>
      </c>
      <c r="B746" s="32" t="s">
        <v>1108</v>
      </c>
      <c r="C746" s="31">
        <v>1435</v>
      </c>
      <c r="D746" s="32">
        <v>7</v>
      </c>
      <c r="E746" s="15">
        <f>INDEX(monster!$H$2:$H$617,MATCH(skill!C746,monster!$A$2:$A$617,0))</f>
        <v>178.11</v>
      </c>
      <c r="F746" s="15">
        <f>INDEX(monster!$I$2:$I$617,MATCH(C746,monster!$A$2:$A$617,0))</f>
        <v>5.34</v>
      </c>
      <c r="G746" s="15" t="b">
        <f t="shared" si="43"/>
        <v>0</v>
      </c>
      <c r="H746" s="31">
        <v>0</v>
      </c>
      <c r="I746" s="15">
        <f>IF(H746&gt;0,HLOOKUP(R746/100,数值规划表!$B$37:$AA$39,3),1)</f>
        <v>1</v>
      </c>
      <c r="J746" s="31" t="s">
        <v>1625</v>
      </c>
      <c r="K746" s="15">
        <f>INDEX(数值规划表!$B$15:$B$18,MATCH(J746,攻击范围,0))</f>
        <v>1</v>
      </c>
      <c r="L746" s="30">
        <v>1</v>
      </c>
      <c r="M746" s="41">
        <v>0</v>
      </c>
      <c r="N746" s="15">
        <f t="shared" si="40"/>
        <v>178</v>
      </c>
      <c r="O746" s="15">
        <f t="shared" si="41"/>
        <v>5.34</v>
      </c>
      <c r="P746" s="15">
        <f>IF(G746,INDEX(monster!$J$2:$J$606,MATCH(skill!C746,monster!$A$2:$A$606,0)),Q746)</f>
        <v>0</v>
      </c>
      <c r="R746" s="33">
        <v>100</v>
      </c>
    </row>
    <row r="747" spans="1:18" x14ac:dyDescent="0.15">
      <c r="A747" s="32">
        <v>10790</v>
      </c>
      <c r="B747" s="32" t="s">
        <v>1109</v>
      </c>
      <c r="C747" s="31">
        <v>1436</v>
      </c>
      <c r="D747" s="32">
        <v>8</v>
      </c>
      <c r="E747" s="15">
        <f>INDEX(monster!$H$2:$H$617,MATCH(skill!C747,monster!$A$2:$A$617,0))</f>
        <v>199.49</v>
      </c>
      <c r="F747" s="15">
        <f>INDEX(monster!$I$2:$I$617,MATCH(C747,monster!$A$2:$A$617,0))</f>
        <v>5.98</v>
      </c>
      <c r="G747" s="15" t="b">
        <f t="shared" si="43"/>
        <v>0</v>
      </c>
      <c r="H747" s="31">
        <v>0</v>
      </c>
      <c r="I747" s="15">
        <f>IF(H747&gt;0,HLOOKUP(R747/100,数值规划表!$B$37:$AA$39,3),1)</f>
        <v>1</v>
      </c>
      <c r="J747" s="31" t="s">
        <v>1625</v>
      </c>
      <c r="K747" s="15">
        <f>INDEX(数值规划表!$B$15:$B$18,MATCH(J747,攻击范围,0))</f>
        <v>1</v>
      </c>
      <c r="L747" s="30">
        <v>1</v>
      </c>
      <c r="M747" s="41">
        <v>0</v>
      </c>
      <c r="N747" s="15">
        <f t="shared" si="40"/>
        <v>199</v>
      </c>
      <c r="O747" s="15">
        <f t="shared" si="41"/>
        <v>5.98</v>
      </c>
      <c r="P747" s="15">
        <f>IF(G747,INDEX(monster!$J$2:$J$606,MATCH(skill!C747,monster!$A$2:$A$606,0)),Q747)</f>
        <v>0</v>
      </c>
      <c r="R747" s="33">
        <v>100</v>
      </c>
    </row>
    <row r="748" spans="1:18" x14ac:dyDescent="0.15">
      <c r="A748" s="32">
        <v>10791</v>
      </c>
      <c r="B748" s="32" t="s">
        <v>1110</v>
      </c>
      <c r="C748" s="31">
        <v>1437</v>
      </c>
      <c r="D748" s="32">
        <v>9</v>
      </c>
      <c r="E748" s="15">
        <f>INDEX(monster!$H$2:$H$617,MATCH(skill!C748,monster!$A$2:$A$617,0))</f>
        <v>223.43</v>
      </c>
      <c r="F748" s="15">
        <f>INDEX(monster!$I$2:$I$617,MATCH(C748,monster!$A$2:$A$617,0))</f>
        <v>6.7</v>
      </c>
      <c r="G748" s="15" t="b">
        <f t="shared" si="43"/>
        <v>0</v>
      </c>
      <c r="H748" s="31">
        <v>0</v>
      </c>
      <c r="I748" s="15">
        <f>IF(H748&gt;0,HLOOKUP(R748/100,数值规划表!$B$37:$AA$39,3),1)</f>
        <v>1</v>
      </c>
      <c r="J748" s="31" t="s">
        <v>1625</v>
      </c>
      <c r="K748" s="15">
        <f>INDEX(数值规划表!$B$15:$B$18,MATCH(J748,攻击范围,0))</f>
        <v>1</v>
      </c>
      <c r="L748" s="30">
        <v>1</v>
      </c>
      <c r="M748" s="41">
        <v>0</v>
      </c>
      <c r="N748" s="15">
        <f t="shared" si="40"/>
        <v>223</v>
      </c>
      <c r="O748" s="15">
        <f t="shared" si="41"/>
        <v>6.7</v>
      </c>
      <c r="P748" s="15">
        <f>IF(G748,INDEX(monster!$J$2:$J$606,MATCH(skill!C748,monster!$A$2:$A$606,0)),Q748)</f>
        <v>0</v>
      </c>
      <c r="R748" s="33">
        <v>100</v>
      </c>
    </row>
    <row r="749" spans="1:18" x14ac:dyDescent="0.15">
      <c r="A749" s="32">
        <v>10792</v>
      </c>
      <c r="B749" s="32" t="s">
        <v>1111</v>
      </c>
      <c r="C749" s="31">
        <v>1438</v>
      </c>
      <c r="D749" s="32">
        <v>10</v>
      </c>
      <c r="E749" s="15">
        <f>INDEX(monster!$H$2:$H$617,MATCH(skill!C749,monster!$A$2:$A$617,0))</f>
        <v>250.24</v>
      </c>
      <c r="F749" s="15">
        <f>INDEX(monster!$I$2:$I$617,MATCH(C749,monster!$A$2:$A$617,0))</f>
        <v>7.51</v>
      </c>
      <c r="G749" s="15" t="b">
        <f t="shared" si="43"/>
        <v>0</v>
      </c>
      <c r="H749" s="31">
        <v>0</v>
      </c>
      <c r="I749" s="15">
        <f>IF(H749&gt;0,HLOOKUP(R749/100,数值规划表!$B$37:$AA$39,3),1)</f>
        <v>1</v>
      </c>
      <c r="J749" s="31" t="s">
        <v>1625</v>
      </c>
      <c r="K749" s="15">
        <f>INDEX(数值规划表!$B$15:$B$18,MATCH(J749,攻击范围,0))</f>
        <v>1</v>
      </c>
      <c r="L749" s="30">
        <v>1</v>
      </c>
      <c r="M749" s="41">
        <v>0</v>
      </c>
      <c r="N749" s="15">
        <f t="shared" si="40"/>
        <v>250</v>
      </c>
      <c r="O749" s="15">
        <f t="shared" si="41"/>
        <v>7.51</v>
      </c>
      <c r="P749" s="15">
        <f>IF(G749,INDEX(monster!$J$2:$J$606,MATCH(skill!C749,monster!$A$2:$A$606,0)),Q749)</f>
        <v>0</v>
      </c>
      <c r="R749" s="33">
        <v>100</v>
      </c>
    </row>
    <row r="750" spans="1:18" s="38" customFormat="1" x14ac:dyDescent="0.15">
      <c r="A750" s="32">
        <v>10793</v>
      </c>
      <c r="B750" s="32" t="s">
        <v>1540</v>
      </c>
      <c r="C750" s="31">
        <v>1439</v>
      </c>
      <c r="D750" s="32">
        <v>0</v>
      </c>
      <c r="E750" s="15">
        <f>INDEX(monster!$H$2:$H$617,MATCH(skill!C750,monster!$A$2:$A$617,0))</f>
        <v>52.16</v>
      </c>
      <c r="F750" s="15">
        <f>INDEX(monster!$I$2:$I$617,MATCH(C750,monster!$A$2:$A$617,0))</f>
        <v>1.56</v>
      </c>
      <c r="G750" s="15" t="b">
        <f t="shared" si="43"/>
        <v>1</v>
      </c>
      <c r="H750" s="31">
        <v>1</v>
      </c>
      <c r="I750" s="15">
        <f>IF(H750&gt;0,HLOOKUP(R750/100,数值规划表!$B$37:$AA$39,3),1)</f>
        <v>1.7999999999999998</v>
      </c>
      <c r="J750" s="31" t="s">
        <v>1625</v>
      </c>
      <c r="K750" s="15">
        <f>INDEX(数值规划表!$B$15:$B$18,MATCH(J750,攻击范围,0))</f>
        <v>1</v>
      </c>
      <c r="L750" s="30">
        <v>1</v>
      </c>
      <c r="M750" s="41">
        <v>0</v>
      </c>
      <c r="N750" s="15">
        <f t="shared" si="40"/>
        <v>94</v>
      </c>
      <c r="O750" s="15">
        <f t="shared" si="41"/>
        <v>2.81</v>
      </c>
      <c r="P750" s="15">
        <f>IF(G750,INDEX(monster!$J$2:$J$606,MATCH(skill!C750,monster!$A$2:$A$606,0)),Q750)</f>
        <v>5</v>
      </c>
      <c r="Q750" s="70"/>
      <c r="R750" s="33">
        <v>150</v>
      </c>
    </row>
    <row r="751" spans="1:18" s="38" customFormat="1" x14ac:dyDescent="0.15">
      <c r="A751" s="32">
        <v>10794</v>
      </c>
      <c r="B751" s="32" t="s">
        <v>1541</v>
      </c>
      <c r="C751" s="31">
        <v>1440</v>
      </c>
      <c r="D751" s="32">
        <v>1</v>
      </c>
      <c r="E751" s="15">
        <f>INDEX(monster!$H$2:$H$617,MATCH(skill!C751,monster!$A$2:$A$617,0))</f>
        <v>58.42</v>
      </c>
      <c r="F751" s="15">
        <f>INDEX(monster!$I$2:$I$617,MATCH(C751,monster!$A$2:$A$617,0))</f>
        <v>1.75</v>
      </c>
      <c r="G751" s="15" t="b">
        <f t="shared" si="43"/>
        <v>1</v>
      </c>
      <c r="H751" s="31">
        <v>1</v>
      </c>
      <c r="I751" s="15">
        <f>IF(H751&gt;0,HLOOKUP(R751/100,数值规划表!$B$37:$AA$39,3),1)</f>
        <v>1.7999999999999998</v>
      </c>
      <c r="J751" s="31" t="s">
        <v>1625</v>
      </c>
      <c r="K751" s="15">
        <f>INDEX(数值规划表!$B$15:$B$18,MATCH(J751,攻击范围,0))</f>
        <v>1</v>
      </c>
      <c r="L751" s="30">
        <v>1</v>
      </c>
      <c r="M751" s="41">
        <v>0</v>
      </c>
      <c r="N751" s="15">
        <f t="shared" si="40"/>
        <v>105</v>
      </c>
      <c r="O751" s="15">
        <f t="shared" si="41"/>
        <v>3.15</v>
      </c>
      <c r="P751" s="15">
        <f>IF(G751,INDEX(monster!$J$2:$J$606,MATCH(skill!C751,monster!$A$2:$A$606,0)),Q751)</f>
        <v>5</v>
      </c>
      <c r="Q751" s="70"/>
      <c r="R751" s="33">
        <v>150</v>
      </c>
    </row>
    <row r="752" spans="1:18" s="38" customFormat="1" x14ac:dyDescent="0.15">
      <c r="A752" s="32">
        <v>10795</v>
      </c>
      <c r="B752" s="32" t="s">
        <v>1112</v>
      </c>
      <c r="C752" s="31">
        <v>1441</v>
      </c>
      <c r="D752" s="32">
        <v>2</v>
      </c>
      <c r="E752" s="15">
        <f>INDEX(monster!$H$2:$H$617,MATCH(skill!C752,monster!$A$2:$A$617,0))</f>
        <v>65.430000000000007</v>
      </c>
      <c r="F752" s="15">
        <f>INDEX(monster!$I$2:$I$617,MATCH(C752,monster!$A$2:$A$617,0))</f>
        <v>1.96</v>
      </c>
      <c r="G752" s="15" t="b">
        <f t="shared" si="43"/>
        <v>1</v>
      </c>
      <c r="H752" s="31">
        <v>1</v>
      </c>
      <c r="I752" s="15">
        <f>IF(H752&gt;0,HLOOKUP(R752/100,数值规划表!$B$37:$AA$39,3),1)</f>
        <v>1.7999999999999998</v>
      </c>
      <c r="J752" s="31" t="s">
        <v>1625</v>
      </c>
      <c r="K752" s="15">
        <f>INDEX(数值规划表!$B$15:$B$18,MATCH(J752,攻击范围,0))</f>
        <v>1</v>
      </c>
      <c r="L752" s="30">
        <v>1</v>
      </c>
      <c r="M752" s="41">
        <v>0</v>
      </c>
      <c r="N752" s="15">
        <f t="shared" si="40"/>
        <v>118</v>
      </c>
      <c r="O752" s="15">
        <f t="shared" si="41"/>
        <v>3.53</v>
      </c>
      <c r="P752" s="15">
        <f>IF(G752,INDEX(monster!$J$2:$J$606,MATCH(skill!C752,monster!$A$2:$A$606,0)),Q752)</f>
        <v>5</v>
      </c>
      <c r="Q752" s="70"/>
      <c r="R752" s="33">
        <v>150</v>
      </c>
    </row>
    <row r="753" spans="1:18" s="38" customFormat="1" x14ac:dyDescent="0.15">
      <c r="A753" s="32">
        <v>10796</v>
      </c>
      <c r="B753" s="32" t="s">
        <v>1113</v>
      </c>
      <c r="C753" s="31">
        <v>1442</v>
      </c>
      <c r="D753" s="32">
        <v>3</v>
      </c>
      <c r="E753" s="15">
        <f>INDEX(monster!$H$2:$H$617,MATCH(skill!C753,monster!$A$2:$A$617,0))</f>
        <v>73.28</v>
      </c>
      <c r="F753" s="15">
        <f>INDEX(monster!$I$2:$I$617,MATCH(C753,monster!$A$2:$A$617,0))</f>
        <v>2.2000000000000002</v>
      </c>
      <c r="G753" s="15" t="b">
        <f t="shared" si="43"/>
        <v>1</v>
      </c>
      <c r="H753" s="31">
        <v>1</v>
      </c>
      <c r="I753" s="15">
        <f>IF(H753&gt;0,HLOOKUP(R753/100,数值规划表!$B$37:$AA$39,3),1)</f>
        <v>1.7999999999999998</v>
      </c>
      <c r="J753" s="31" t="s">
        <v>1625</v>
      </c>
      <c r="K753" s="15">
        <f>INDEX(数值规划表!$B$15:$B$18,MATCH(J753,攻击范围,0))</f>
        <v>1</v>
      </c>
      <c r="L753" s="30">
        <v>1</v>
      </c>
      <c r="M753" s="41">
        <v>0</v>
      </c>
      <c r="N753" s="15">
        <f t="shared" si="40"/>
        <v>132</v>
      </c>
      <c r="O753" s="15">
        <f t="shared" si="41"/>
        <v>3.96</v>
      </c>
      <c r="P753" s="15">
        <f>IF(G753,INDEX(monster!$J$2:$J$606,MATCH(skill!C753,monster!$A$2:$A$606,0)),Q753)</f>
        <v>5</v>
      </c>
      <c r="Q753" s="70"/>
      <c r="R753" s="33">
        <v>150</v>
      </c>
    </row>
    <row r="754" spans="1:18" s="38" customFormat="1" x14ac:dyDescent="0.15">
      <c r="A754" s="32">
        <v>10797</v>
      </c>
      <c r="B754" s="32" t="s">
        <v>1114</v>
      </c>
      <c r="C754" s="31">
        <v>1443</v>
      </c>
      <c r="D754" s="32">
        <v>4</v>
      </c>
      <c r="E754" s="15">
        <f>INDEX(monster!$H$2:$H$617,MATCH(skill!C754,monster!$A$2:$A$617,0))</f>
        <v>82.07</v>
      </c>
      <c r="F754" s="15">
        <f>INDEX(monster!$I$2:$I$617,MATCH(C754,monster!$A$2:$A$617,0))</f>
        <v>2.46</v>
      </c>
      <c r="G754" s="15" t="b">
        <f t="shared" si="43"/>
        <v>1</v>
      </c>
      <c r="H754" s="31">
        <v>1</v>
      </c>
      <c r="I754" s="15">
        <f>IF(H754&gt;0,HLOOKUP(R754/100,数值规划表!$B$37:$AA$39,3),1)</f>
        <v>1.7999999999999998</v>
      </c>
      <c r="J754" s="31" t="s">
        <v>1625</v>
      </c>
      <c r="K754" s="15">
        <f>INDEX(数值规划表!$B$15:$B$18,MATCH(J754,攻击范围,0))</f>
        <v>1</v>
      </c>
      <c r="L754" s="30">
        <v>1</v>
      </c>
      <c r="M754" s="41">
        <v>0</v>
      </c>
      <c r="N754" s="15">
        <f t="shared" si="40"/>
        <v>148</v>
      </c>
      <c r="O754" s="15">
        <f t="shared" si="41"/>
        <v>4.43</v>
      </c>
      <c r="P754" s="15">
        <f>IF(G754,INDEX(monster!$J$2:$J$606,MATCH(skill!C754,monster!$A$2:$A$606,0)),Q754)</f>
        <v>5</v>
      </c>
      <c r="Q754" s="70"/>
      <c r="R754" s="33">
        <v>150</v>
      </c>
    </row>
    <row r="755" spans="1:18" s="38" customFormat="1" x14ac:dyDescent="0.15">
      <c r="A755" s="32">
        <v>10798</v>
      </c>
      <c r="B755" s="32" t="s">
        <v>1115</v>
      </c>
      <c r="C755" s="31">
        <v>1444</v>
      </c>
      <c r="D755" s="32">
        <v>5</v>
      </c>
      <c r="E755" s="15">
        <f>INDEX(monster!$H$2:$H$617,MATCH(skill!C755,monster!$A$2:$A$617,0))</f>
        <v>91.92</v>
      </c>
      <c r="F755" s="15">
        <f>INDEX(monster!$I$2:$I$617,MATCH(C755,monster!$A$2:$A$617,0))</f>
        <v>2.76</v>
      </c>
      <c r="G755" s="15" t="b">
        <f t="shared" si="43"/>
        <v>1</v>
      </c>
      <c r="H755" s="31">
        <v>1</v>
      </c>
      <c r="I755" s="15">
        <f>IF(H755&gt;0,HLOOKUP(R755/100,数值规划表!$B$37:$AA$39,3),1)</f>
        <v>1.7999999999999998</v>
      </c>
      <c r="J755" s="31" t="s">
        <v>1625</v>
      </c>
      <c r="K755" s="15">
        <f>INDEX(数值规划表!$B$15:$B$18,MATCH(J755,攻击范围,0))</f>
        <v>1</v>
      </c>
      <c r="L755" s="30">
        <v>1</v>
      </c>
      <c r="M755" s="41">
        <v>0</v>
      </c>
      <c r="N755" s="15">
        <f t="shared" si="40"/>
        <v>165</v>
      </c>
      <c r="O755" s="15">
        <f t="shared" si="41"/>
        <v>4.97</v>
      </c>
      <c r="P755" s="15">
        <f>IF(G755,INDEX(monster!$J$2:$J$606,MATCH(skill!C755,monster!$A$2:$A$606,0)),Q755)</f>
        <v>5</v>
      </c>
      <c r="Q755" s="70"/>
      <c r="R755" s="33">
        <v>150</v>
      </c>
    </row>
    <row r="756" spans="1:18" s="38" customFormat="1" x14ac:dyDescent="0.15">
      <c r="A756" s="32">
        <v>10799</v>
      </c>
      <c r="B756" s="32" t="s">
        <v>1116</v>
      </c>
      <c r="C756" s="31">
        <v>1445</v>
      </c>
      <c r="D756" s="32">
        <v>6</v>
      </c>
      <c r="E756" s="15">
        <f>INDEX(monster!$H$2:$H$617,MATCH(skill!C756,monster!$A$2:$A$617,0))</f>
        <v>102.95</v>
      </c>
      <c r="F756" s="15">
        <f>INDEX(monster!$I$2:$I$617,MATCH(C756,monster!$A$2:$A$617,0))</f>
        <v>3.09</v>
      </c>
      <c r="G756" s="15" t="b">
        <f t="shared" si="43"/>
        <v>1</v>
      </c>
      <c r="H756" s="31">
        <v>1</v>
      </c>
      <c r="I756" s="15">
        <f>IF(H756&gt;0,HLOOKUP(R756/100,数值规划表!$B$37:$AA$39,3),1)</f>
        <v>1.7999999999999998</v>
      </c>
      <c r="J756" s="31" t="s">
        <v>1625</v>
      </c>
      <c r="K756" s="15">
        <f>INDEX(数值规划表!$B$15:$B$18,MATCH(J756,攻击范围,0))</f>
        <v>1</v>
      </c>
      <c r="L756" s="30">
        <v>1</v>
      </c>
      <c r="M756" s="41">
        <v>0</v>
      </c>
      <c r="N756" s="15">
        <f t="shared" si="40"/>
        <v>185</v>
      </c>
      <c r="O756" s="15">
        <f t="shared" si="41"/>
        <v>5.56</v>
      </c>
      <c r="P756" s="15">
        <f>IF(G756,INDEX(monster!$J$2:$J$606,MATCH(skill!C756,monster!$A$2:$A$606,0)),Q756)</f>
        <v>5</v>
      </c>
      <c r="Q756" s="70"/>
      <c r="R756" s="33">
        <v>150</v>
      </c>
    </row>
    <row r="757" spans="1:18" s="38" customFormat="1" x14ac:dyDescent="0.15">
      <c r="A757" s="32">
        <v>10800</v>
      </c>
      <c r="B757" s="32" t="s">
        <v>1117</v>
      </c>
      <c r="C757" s="31">
        <v>1446</v>
      </c>
      <c r="D757" s="32">
        <v>7</v>
      </c>
      <c r="E757" s="15">
        <f>INDEX(monster!$H$2:$H$617,MATCH(skill!C757,monster!$A$2:$A$617,0))</f>
        <v>115.31</v>
      </c>
      <c r="F757" s="15">
        <f>INDEX(monster!$I$2:$I$617,MATCH(C757,monster!$A$2:$A$617,0))</f>
        <v>3.46</v>
      </c>
      <c r="G757" s="15" t="b">
        <f t="shared" si="43"/>
        <v>1</v>
      </c>
      <c r="H757" s="31">
        <v>1</v>
      </c>
      <c r="I757" s="15">
        <f>IF(H757&gt;0,HLOOKUP(R757/100,数值规划表!$B$37:$AA$39,3),1)</f>
        <v>1.7999999999999998</v>
      </c>
      <c r="J757" s="31" t="s">
        <v>1625</v>
      </c>
      <c r="K757" s="15">
        <f>INDEX(数值规划表!$B$15:$B$18,MATCH(J757,攻击范围,0))</f>
        <v>1</v>
      </c>
      <c r="L757" s="30">
        <v>1</v>
      </c>
      <c r="M757" s="41">
        <v>0</v>
      </c>
      <c r="N757" s="15">
        <f t="shared" si="40"/>
        <v>208</v>
      </c>
      <c r="O757" s="15">
        <f t="shared" si="41"/>
        <v>6.23</v>
      </c>
      <c r="P757" s="15">
        <f>IF(G757,INDEX(monster!$J$2:$J$606,MATCH(skill!C757,monster!$A$2:$A$606,0)),Q757)</f>
        <v>5</v>
      </c>
      <c r="Q757" s="70"/>
      <c r="R757" s="33">
        <v>150</v>
      </c>
    </row>
    <row r="758" spans="1:18" s="38" customFormat="1" x14ac:dyDescent="0.15">
      <c r="A758" s="32">
        <v>10801</v>
      </c>
      <c r="B758" s="32" t="s">
        <v>1118</v>
      </c>
      <c r="C758" s="31">
        <v>1447</v>
      </c>
      <c r="D758" s="32">
        <v>8</v>
      </c>
      <c r="E758" s="15">
        <f>INDEX(monster!$H$2:$H$617,MATCH(skill!C758,monster!$A$2:$A$617,0))</f>
        <v>129.15</v>
      </c>
      <c r="F758" s="15">
        <f>INDEX(monster!$I$2:$I$617,MATCH(C758,monster!$A$2:$A$617,0))</f>
        <v>3.87</v>
      </c>
      <c r="G758" s="15" t="b">
        <f t="shared" si="43"/>
        <v>1</v>
      </c>
      <c r="H758" s="31">
        <v>1</v>
      </c>
      <c r="I758" s="15">
        <f>IF(H758&gt;0,HLOOKUP(R758/100,数值规划表!$B$37:$AA$39,3),1)</f>
        <v>1.7999999999999998</v>
      </c>
      <c r="J758" s="31" t="s">
        <v>1625</v>
      </c>
      <c r="K758" s="15">
        <f>INDEX(数值规划表!$B$15:$B$18,MATCH(J758,攻击范围,0))</f>
        <v>1</v>
      </c>
      <c r="L758" s="30">
        <v>1</v>
      </c>
      <c r="M758" s="41">
        <v>0</v>
      </c>
      <c r="N758" s="15">
        <f t="shared" si="40"/>
        <v>232</v>
      </c>
      <c r="O758" s="15">
        <f t="shared" si="41"/>
        <v>6.97</v>
      </c>
      <c r="P758" s="15">
        <f>IF(G758,INDEX(monster!$J$2:$J$606,MATCH(skill!C758,monster!$A$2:$A$606,0)),Q758)</f>
        <v>5</v>
      </c>
      <c r="Q758" s="70"/>
      <c r="R758" s="33">
        <v>150</v>
      </c>
    </row>
    <row r="759" spans="1:18" s="38" customFormat="1" x14ac:dyDescent="0.15">
      <c r="A759" s="32">
        <v>10802</v>
      </c>
      <c r="B759" s="32" t="s">
        <v>1119</v>
      </c>
      <c r="C759" s="31">
        <v>1448</v>
      </c>
      <c r="D759" s="32">
        <v>9</v>
      </c>
      <c r="E759" s="15">
        <f>INDEX(monster!$H$2:$H$617,MATCH(skill!C759,monster!$A$2:$A$617,0))</f>
        <v>144.63999999999999</v>
      </c>
      <c r="F759" s="15">
        <f>INDEX(monster!$I$2:$I$617,MATCH(C759,monster!$A$2:$A$617,0))</f>
        <v>4.34</v>
      </c>
      <c r="G759" s="15" t="b">
        <f t="shared" si="43"/>
        <v>1</v>
      </c>
      <c r="H759" s="31">
        <v>1</v>
      </c>
      <c r="I759" s="15">
        <f>IF(H759&gt;0,HLOOKUP(R759/100,数值规划表!$B$37:$AA$39,3),1)</f>
        <v>1.7999999999999998</v>
      </c>
      <c r="J759" s="31" t="s">
        <v>1625</v>
      </c>
      <c r="K759" s="15">
        <f>INDEX(数值规划表!$B$15:$B$18,MATCH(J759,攻击范围,0))</f>
        <v>1</v>
      </c>
      <c r="L759" s="30">
        <v>1</v>
      </c>
      <c r="M759" s="41">
        <v>0</v>
      </c>
      <c r="N759" s="15">
        <f t="shared" ref="N759:N822" si="44">ROUND(E759*I759*K759*L759,0)</f>
        <v>260</v>
      </c>
      <c r="O759" s="15">
        <f t="shared" ref="O759:O822" si="45">ROUND(F759*I759*K759*L759,2)</f>
        <v>7.81</v>
      </c>
      <c r="P759" s="15">
        <f>IF(G759,INDEX(monster!$J$2:$J$606,MATCH(skill!C759,monster!$A$2:$A$606,0)),Q759)</f>
        <v>5</v>
      </c>
      <c r="Q759" s="70"/>
      <c r="R759" s="33">
        <v>150</v>
      </c>
    </row>
    <row r="760" spans="1:18" s="38" customFormat="1" x14ac:dyDescent="0.15">
      <c r="A760" s="32">
        <v>10803</v>
      </c>
      <c r="B760" s="32" t="s">
        <v>1120</v>
      </c>
      <c r="C760" s="31">
        <v>1449</v>
      </c>
      <c r="D760" s="32">
        <v>10</v>
      </c>
      <c r="E760" s="15">
        <f>INDEX(monster!$H$2:$H$617,MATCH(skill!C760,monster!$A$2:$A$617,0))</f>
        <v>162</v>
      </c>
      <c r="F760" s="15">
        <f>INDEX(monster!$I$2:$I$617,MATCH(C760,monster!$A$2:$A$617,0))</f>
        <v>4.8600000000000003</v>
      </c>
      <c r="G760" s="15" t="b">
        <f t="shared" si="43"/>
        <v>1</v>
      </c>
      <c r="H760" s="31">
        <v>1</v>
      </c>
      <c r="I760" s="15">
        <f>IF(H760&gt;0,HLOOKUP(R760/100,数值规划表!$B$37:$AA$39,3),1)</f>
        <v>1.7999999999999998</v>
      </c>
      <c r="J760" s="31" t="s">
        <v>1625</v>
      </c>
      <c r="K760" s="15">
        <f>INDEX(数值规划表!$B$15:$B$18,MATCH(J760,攻击范围,0))</f>
        <v>1</v>
      </c>
      <c r="L760" s="30">
        <v>1</v>
      </c>
      <c r="M760" s="41">
        <v>0</v>
      </c>
      <c r="N760" s="15">
        <f t="shared" si="44"/>
        <v>292</v>
      </c>
      <c r="O760" s="15">
        <f t="shared" si="45"/>
        <v>8.75</v>
      </c>
      <c r="P760" s="15">
        <f>IF(G760,INDEX(monster!$J$2:$J$606,MATCH(skill!C760,monster!$A$2:$A$606,0)),Q760)</f>
        <v>5</v>
      </c>
      <c r="Q760" s="70"/>
      <c r="R760" s="33">
        <v>150</v>
      </c>
    </row>
    <row r="761" spans="1:18" s="38" customFormat="1" x14ac:dyDescent="0.15">
      <c r="A761" s="32">
        <v>10804</v>
      </c>
      <c r="B761" s="32" t="s">
        <v>2381</v>
      </c>
      <c r="C761" s="53">
        <v>2028</v>
      </c>
      <c r="D761" s="32">
        <v>0</v>
      </c>
      <c r="E761" s="15">
        <f>INDEX(monster!$H$2:$H$617,MATCH(skill!C761,monster!$A$2:$A$617,0))</f>
        <v>68.86</v>
      </c>
      <c r="F761" s="15">
        <f>INDEX(monster!$I$2:$I$617,MATCH(C761,monster!$A$2:$A$617,0))</f>
        <v>2.0699999999999998</v>
      </c>
      <c r="G761" s="15" t="b">
        <f t="shared" si="43"/>
        <v>0</v>
      </c>
      <c r="H761" s="31">
        <v>0</v>
      </c>
      <c r="I761" s="15">
        <f>IF(H761&gt;0,HLOOKUP(R761/100,数值规划表!$B$37:$AA$39,3),1)</f>
        <v>1</v>
      </c>
      <c r="J761" s="31" t="s">
        <v>1627</v>
      </c>
      <c r="K761" s="15">
        <f>INDEX(数值规划表!$B$15:$B$18,MATCH(J761,攻击范围,0))</f>
        <v>0.7</v>
      </c>
      <c r="L761" s="30">
        <v>1</v>
      </c>
      <c r="M761" s="41">
        <v>0</v>
      </c>
      <c r="N761" s="15">
        <f t="shared" si="44"/>
        <v>48</v>
      </c>
      <c r="O761" s="15">
        <f t="shared" si="45"/>
        <v>1.45</v>
      </c>
      <c r="P761" s="15">
        <f>IF(G761,INDEX(monster!$J$2:$J$606,MATCH(skill!C761,monster!$A$2:$A$606,0)),Q761)</f>
        <v>5</v>
      </c>
      <c r="Q761" s="70">
        <v>5</v>
      </c>
      <c r="R761" s="33">
        <v>350</v>
      </c>
    </row>
    <row r="762" spans="1:18" s="38" customFormat="1" x14ac:dyDescent="0.15">
      <c r="A762" s="32">
        <v>10805</v>
      </c>
      <c r="B762" s="32" t="s">
        <v>2382</v>
      </c>
      <c r="C762" s="53">
        <v>2029</v>
      </c>
      <c r="D762" s="32">
        <v>1</v>
      </c>
      <c r="E762" s="15">
        <f>INDEX(monster!$H$2:$H$617,MATCH(skill!C762,monster!$A$2:$A$617,0))</f>
        <v>77.12</v>
      </c>
      <c r="F762" s="15">
        <f>INDEX(monster!$I$2:$I$617,MATCH(C762,monster!$A$2:$A$617,0))</f>
        <v>2.31</v>
      </c>
      <c r="G762" s="15" t="b">
        <f t="shared" si="43"/>
        <v>0</v>
      </c>
      <c r="H762" s="31">
        <v>0</v>
      </c>
      <c r="I762" s="15">
        <f>IF(H762&gt;0,HLOOKUP(R762/100,数值规划表!$B$37:$AA$39,3),1)</f>
        <v>1</v>
      </c>
      <c r="J762" s="31" t="s">
        <v>1627</v>
      </c>
      <c r="K762" s="15">
        <f>INDEX(数值规划表!$B$15:$B$18,MATCH(J762,攻击范围,0))</f>
        <v>0.7</v>
      </c>
      <c r="L762" s="70">
        <v>1</v>
      </c>
      <c r="M762" s="41">
        <v>0</v>
      </c>
      <c r="N762" s="15">
        <f t="shared" si="44"/>
        <v>54</v>
      </c>
      <c r="O762" s="15">
        <f t="shared" si="45"/>
        <v>1.62</v>
      </c>
      <c r="P762" s="15">
        <f>IF(G762,INDEX(monster!$J$2:$J$606,MATCH(skill!C762,monster!$A$2:$A$606,0)),Q762)</f>
        <v>5</v>
      </c>
      <c r="Q762" s="70">
        <v>5</v>
      </c>
      <c r="R762" s="33">
        <v>350</v>
      </c>
    </row>
    <row r="763" spans="1:18" s="38" customFormat="1" x14ac:dyDescent="0.15">
      <c r="A763" s="32">
        <v>10806</v>
      </c>
      <c r="B763" s="32" t="s">
        <v>2383</v>
      </c>
      <c r="C763" s="53">
        <v>2030</v>
      </c>
      <c r="D763" s="32">
        <v>2</v>
      </c>
      <c r="E763" s="15">
        <f>INDEX(monster!$H$2:$H$617,MATCH(skill!C763,monster!$A$2:$A$617,0))</f>
        <v>86.38</v>
      </c>
      <c r="F763" s="15">
        <f>INDEX(monster!$I$2:$I$617,MATCH(C763,monster!$A$2:$A$617,0))</f>
        <v>2.59</v>
      </c>
      <c r="G763" s="15" t="b">
        <f t="shared" si="43"/>
        <v>0</v>
      </c>
      <c r="H763" s="31">
        <v>0</v>
      </c>
      <c r="I763" s="15">
        <f>IF(H763&gt;0,HLOOKUP(R763/100,数值规划表!$B$37:$AA$39,3),1)</f>
        <v>1</v>
      </c>
      <c r="J763" s="31" t="s">
        <v>1627</v>
      </c>
      <c r="K763" s="15">
        <f>INDEX(数值规划表!$B$15:$B$18,MATCH(J763,攻击范围,0))</f>
        <v>0.7</v>
      </c>
      <c r="L763" s="70">
        <v>1</v>
      </c>
      <c r="M763" s="41">
        <v>0</v>
      </c>
      <c r="N763" s="15">
        <f t="shared" si="44"/>
        <v>60</v>
      </c>
      <c r="O763" s="15">
        <f t="shared" si="45"/>
        <v>1.81</v>
      </c>
      <c r="P763" s="15">
        <f>IF(G763,INDEX(monster!$J$2:$J$606,MATCH(skill!C763,monster!$A$2:$A$606,0)),Q763)</f>
        <v>5</v>
      </c>
      <c r="Q763" s="70">
        <v>5</v>
      </c>
      <c r="R763" s="33">
        <v>350</v>
      </c>
    </row>
    <row r="764" spans="1:18" s="38" customFormat="1" x14ac:dyDescent="0.15">
      <c r="A764" s="32">
        <v>10807</v>
      </c>
      <c r="B764" s="32" t="s">
        <v>2384</v>
      </c>
      <c r="C764" s="53">
        <v>2031</v>
      </c>
      <c r="D764" s="32">
        <v>3</v>
      </c>
      <c r="E764" s="15">
        <f>INDEX(monster!$H$2:$H$617,MATCH(skill!C764,monster!$A$2:$A$617,0))</f>
        <v>96.74</v>
      </c>
      <c r="F764" s="15">
        <f>INDEX(monster!$I$2:$I$617,MATCH(C764,monster!$A$2:$A$617,0))</f>
        <v>2.9</v>
      </c>
      <c r="G764" s="15" t="b">
        <f t="shared" si="43"/>
        <v>0</v>
      </c>
      <c r="H764" s="31">
        <v>0</v>
      </c>
      <c r="I764" s="15">
        <f>IF(H764&gt;0,HLOOKUP(R764/100,数值规划表!$B$37:$AA$39,3),1)</f>
        <v>1</v>
      </c>
      <c r="J764" s="31" t="s">
        <v>1627</v>
      </c>
      <c r="K764" s="15">
        <f>INDEX(数值规划表!$B$15:$B$18,MATCH(J764,攻击范围,0))</f>
        <v>0.7</v>
      </c>
      <c r="L764" s="70">
        <v>1</v>
      </c>
      <c r="M764" s="41">
        <v>0</v>
      </c>
      <c r="N764" s="15">
        <f t="shared" si="44"/>
        <v>68</v>
      </c>
      <c r="O764" s="15">
        <f t="shared" si="45"/>
        <v>2.0299999999999998</v>
      </c>
      <c r="P764" s="15">
        <f>IF(G764,INDEX(monster!$J$2:$J$606,MATCH(skill!C764,monster!$A$2:$A$606,0)),Q764)</f>
        <v>5</v>
      </c>
      <c r="Q764" s="70">
        <v>5</v>
      </c>
      <c r="R764" s="33">
        <v>350</v>
      </c>
    </row>
    <row r="765" spans="1:18" s="38" customFormat="1" x14ac:dyDescent="0.15">
      <c r="A765" s="32">
        <v>10808</v>
      </c>
      <c r="B765" s="32" t="s">
        <v>2385</v>
      </c>
      <c r="C765" s="53">
        <v>2032</v>
      </c>
      <c r="D765" s="32">
        <v>4</v>
      </c>
      <c r="E765" s="15">
        <f>INDEX(monster!$H$2:$H$617,MATCH(skill!C765,monster!$A$2:$A$617,0))</f>
        <v>108.35</v>
      </c>
      <c r="F765" s="15">
        <f>INDEX(monster!$I$2:$I$617,MATCH(C765,monster!$A$2:$A$617,0))</f>
        <v>3.25</v>
      </c>
      <c r="G765" s="15" t="b">
        <f t="shared" si="43"/>
        <v>0</v>
      </c>
      <c r="H765" s="31">
        <v>0</v>
      </c>
      <c r="I765" s="15">
        <f>IF(H765&gt;0,HLOOKUP(R765/100,数值规划表!$B$37:$AA$39,3),1)</f>
        <v>1</v>
      </c>
      <c r="J765" s="31" t="s">
        <v>1627</v>
      </c>
      <c r="K765" s="15">
        <f>INDEX(数值规划表!$B$15:$B$18,MATCH(J765,攻击范围,0))</f>
        <v>0.7</v>
      </c>
      <c r="L765" s="70">
        <v>1</v>
      </c>
      <c r="M765" s="41">
        <v>0</v>
      </c>
      <c r="N765" s="15">
        <f t="shared" si="44"/>
        <v>76</v>
      </c>
      <c r="O765" s="15">
        <f t="shared" si="45"/>
        <v>2.2799999999999998</v>
      </c>
      <c r="P765" s="15">
        <f>IF(G765,INDEX(monster!$J$2:$J$606,MATCH(skill!C765,monster!$A$2:$A$606,0)),Q765)</f>
        <v>5</v>
      </c>
      <c r="Q765" s="70">
        <v>5</v>
      </c>
      <c r="R765" s="33">
        <v>350</v>
      </c>
    </row>
    <row r="766" spans="1:18" s="38" customFormat="1" x14ac:dyDescent="0.15">
      <c r="A766" s="32">
        <v>10809</v>
      </c>
      <c r="B766" s="32" t="s">
        <v>2386</v>
      </c>
      <c r="C766" s="53">
        <v>2033</v>
      </c>
      <c r="D766" s="32">
        <v>5</v>
      </c>
      <c r="E766" s="15">
        <f>INDEX(monster!$H$2:$H$617,MATCH(skill!C766,monster!$A$2:$A$617,0))</f>
        <v>121.35</v>
      </c>
      <c r="F766" s="15">
        <f>INDEX(monster!$I$2:$I$617,MATCH(C766,monster!$A$2:$A$617,0))</f>
        <v>3.64</v>
      </c>
      <c r="G766" s="15" t="b">
        <f t="shared" si="43"/>
        <v>0</v>
      </c>
      <c r="H766" s="31">
        <v>0</v>
      </c>
      <c r="I766" s="15">
        <f>IF(H766&gt;0,HLOOKUP(R766/100,数值规划表!$B$37:$AA$39,3),1)</f>
        <v>1</v>
      </c>
      <c r="J766" s="31" t="s">
        <v>1627</v>
      </c>
      <c r="K766" s="15">
        <f>INDEX(数值规划表!$B$15:$B$18,MATCH(J766,攻击范围,0))</f>
        <v>0.7</v>
      </c>
      <c r="L766" s="70">
        <v>1</v>
      </c>
      <c r="M766" s="41">
        <v>0</v>
      </c>
      <c r="N766" s="15">
        <f t="shared" si="44"/>
        <v>85</v>
      </c>
      <c r="O766" s="15">
        <f t="shared" si="45"/>
        <v>2.5499999999999998</v>
      </c>
      <c r="P766" s="15">
        <f>IF(G766,INDEX(monster!$J$2:$J$606,MATCH(skill!C766,monster!$A$2:$A$606,0)),Q766)</f>
        <v>5</v>
      </c>
      <c r="Q766" s="70">
        <v>5</v>
      </c>
      <c r="R766" s="33">
        <v>350</v>
      </c>
    </row>
    <row r="767" spans="1:18" s="38" customFormat="1" x14ac:dyDescent="0.15">
      <c r="A767" s="32">
        <v>10810</v>
      </c>
      <c r="B767" s="32" t="s">
        <v>2387</v>
      </c>
      <c r="C767" s="53">
        <v>2034</v>
      </c>
      <c r="D767" s="32">
        <v>6</v>
      </c>
      <c r="E767" s="15">
        <f>INDEX(monster!$H$2:$H$617,MATCH(skill!C767,monster!$A$2:$A$617,0))</f>
        <v>135.91999999999999</v>
      </c>
      <c r="F767" s="15">
        <f>INDEX(monster!$I$2:$I$617,MATCH(C767,monster!$A$2:$A$617,0))</f>
        <v>4.08</v>
      </c>
      <c r="G767" s="15" t="b">
        <f t="shared" si="43"/>
        <v>0</v>
      </c>
      <c r="H767" s="31">
        <v>0</v>
      </c>
      <c r="I767" s="15">
        <f>IF(H767&gt;0,HLOOKUP(R767/100,数值规划表!$B$37:$AA$39,3),1)</f>
        <v>1</v>
      </c>
      <c r="J767" s="31" t="s">
        <v>1627</v>
      </c>
      <c r="K767" s="15">
        <f>INDEX(数值规划表!$B$15:$B$18,MATCH(J767,攻击范围,0))</f>
        <v>0.7</v>
      </c>
      <c r="L767" s="70">
        <v>1</v>
      </c>
      <c r="M767" s="41">
        <v>0</v>
      </c>
      <c r="N767" s="15">
        <f t="shared" si="44"/>
        <v>95</v>
      </c>
      <c r="O767" s="15">
        <f t="shared" si="45"/>
        <v>2.86</v>
      </c>
      <c r="P767" s="15">
        <f>IF(G767,INDEX(monster!$J$2:$J$606,MATCH(skill!C767,monster!$A$2:$A$606,0)),Q767)</f>
        <v>5</v>
      </c>
      <c r="Q767" s="70">
        <v>5</v>
      </c>
      <c r="R767" s="33">
        <v>350</v>
      </c>
    </row>
    <row r="768" spans="1:18" s="38" customFormat="1" x14ac:dyDescent="0.15">
      <c r="A768" s="32">
        <v>10811</v>
      </c>
      <c r="B768" s="32" t="s">
        <v>2388</v>
      </c>
      <c r="C768" s="53">
        <v>2035</v>
      </c>
      <c r="D768" s="32">
        <v>7</v>
      </c>
      <c r="E768" s="15">
        <f>INDEX(monster!$H$2:$H$617,MATCH(skill!C768,monster!$A$2:$A$617,0))</f>
        <v>152.22999999999999</v>
      </c>
      <c r="F768" s="15">
        <f>INDEX(monster!$I$2:$I$617,MATCH(C768,monster!$A$2:$A$617,0))</f>
        <v>4.57</v>
      </c>
      <c r="G768" s="15" t="b">
        <f t="shared" si="43"/>
        <v>0</v>
      </c>
      <c r="H768" s="31">
        <v>0</v>
      </c>
      <c r="I768" s="15">
        <f>IF(H768&gt;0,HLOOKUP(R768/100,数值规划表!$B$37:$AA$39,3),1)</f>
        <v>1</v>
      </c>
      <c r="J768" s="31" t="s">
        <v>1627</v>
      </c>
      <c r="K768" s="15">
        <f>INDEX(数值规划表!$B$15:$B$18,MATCH(J768,攻击范围,0))</f>
        <v>0.7</v>
      </c>
      <c r="L768" s="70">
        <v>1</v>
      </c>
      <c r="M768" s="41">
        <v>0</v>
      </c>
      <c r="N768" s="15">
        <f t="shared" si="44"/>
        <v>107</v>
      </c>
      <c r="O768" s="15">
        <f t="shared" si="45"/>
        <v>3.2</v>
      </c>
      <c r="P768" s="15">
        <f>IF(G768,INDEX(monster!$J$2:$J$606,MATCH(skill!C768,monster!$A$2:$A$606,0)),Q768)</f>
        <v>5</v>
      </c>
      <c r="Q768" s="70">
        <v>5</v>
      </c>
      <c r="R768" s="33">
        <v>350</v>
      </c>
    </row>
    <row r="769" spans="1:18" s="38" customFormat="1" x14ac:dyDescent="0.15">
      <c r="A769" s="32">
        <v>10812</v>
      </c>
      <c r="B769" s="32" t="s">
        <v>2389</v>
      </c>
      <c r="C769" s="53">
        <v>2036</v>
      </c>
      <c r="D769" s="32">
        <v>8</v>
      </c>
      <c r="E769" s="15">
        <f>INDEX(monster!$H$2:$H$617,MATCH(skill!C769,monster!$A$2:$A$617,0))</f>
        <v>170.49</v>
      </c>
      <c r="F769" s="15">
        <f>INDEX(monster!$I$2:$I$617,MATCH(C769,monster!$A$2:$A$617,0))</f>
        <v>5.1100000000000003</v>
      </c>
      <c r="G769" s="15" t="b">
        <f t="shared" si="43"/>
        <v>0</v>
      </c>
      <c r="H769" s="31">
        <v>0</v>
      </c>
      <c r="I769" s="15">
        <f>IF(H769&gt;0,HLOOKUP(R769/100,数值规划表!$B$37:$AA$39,3),1)</f>
        <v>1</v>
      </c>
      <c r="J769" s="31" t="s">
        <v>1627</v>
      </c>
      <c r="K769" s="15">
        <f>INDEX(数值规划表!$B$15:$B$18,MATCH(J769,攻击范围,0))</f>
        <v>0.7</v>
      </c>
      <c r="L769" s="70">
        <v>1</v>
      </c>
      <c r="M769" s="41">
        <v>0</v>
      </c>
      <c r="N769" s="15">
        <f t="shared" si="44"/>
        <v>119</v>
      </c>
      <c r="O769" s="15">
        <f t="shared" si="45"/>
        <v>3.58</v>
      </c>
      <c r="P769" s="15">
        <f>IF(G769,INDEX(monster!$J$2:$J$606,MATCH(skill!C769,monster!$A$2:$A$606,0)),Q769)</f>
        <v>5</v>
      </c>
      <c r="Q769" s="70">
        <v>5</v>
      </c>
      <c r="R769" s="33">
        <v>350</v>
      </c>
    </row>
    <row r="770" spans="1:18" s="38" customFormat="1" x14ac:dyDescent="0.15">
      <c r="A770" s="32">
        <v>10813</v>
      </c>
      <c r="B770" s="32" t="s">
        <v>2390</v>
      </c>
      <c r="C770" s="53">
        <v>2037</v>
      </c>
      <c r="D770" s="32">
        <v>9</v>
      </c>
      <c r="E770" s="15">
        <f>INDEX(monster!$H$2:$H$617,MATCH(skill!C770,monster!$A$2:$A$617,0))</f>
        <v>190.95</v>
      </c>
      <c r="F770" s="15">
        <f>INDEX(monster!$I$2:$I$617,MATCH(C770,monster!$A$2:$A$617,0))</f>
        <v>5.73</v>
      </c>
      <c r="G770" s="15" t="b">
        <f t="shared" si="43"/>
        <v>0</v>
      </c>
      <c r="H770" s="31">
        <v>0</v>
      </c>
      <c r="I770" s="15">
        <f>IF(H770&gt;0,HLOOKUP(R770/100,数值规划表!$B$37:$AA$39,3),1)</f>
        <v>1</v>
      </c>
      <c r="J770" s="31" t="s">
        <v>1627</v>
      </c>
      <c r="K770" s="15">
        <f>INDEX(数值规划表!$B$15:$B$18,MATCH(J770,攻击范围,0))</f>
        <v>0.7</v>
      </c>
      <c r="L770" s="70">
        <v>1</v>
      </c>
      <c r="M770" s="41">
        <v>0</v>
      </c>
      <c r="N770" s="15">
        <f t="shared" si="44"/>
        <v>134</v>
      </c>
      <c r="O770" s="15">
        <f t="shared" si="45"/>
        <v>4.01</v>
      </c>
      <c r="P770" s="15">
        <f>IF(G770,INDEX(monster!$J$2:$J$606,MATCH(skill!C770,monster!$A$2:$A$606,0)),Q770)</f>
        <v>5</v>
      </c>
      <c r="Q770" s="70">
        <v>5</v>
      </c>
      <c r="R770" s="33">
        <v>350</v>
      </c>
    </row>
    <row r="771" spans="1:18" s="38" customFormat="1" x14ac:dyDescent="0.15">
      <c r="A771" s="32">
        <v>10814</v>
      </c>
      <c r="B771" s="32" t="s">
        <v>2391</v>
      </c>
      <c r="C771" s="53">
        <v>2038</v>
      </c>
      <c r="D771" s="32">
        <v>10</v>
      </c>
      <c r="E771" s="15">
        <f>INDEX(monster!$H$2:$H$617,MATCH(skill!C771,monster!$A$2:$A$617,0))</f>
        <v>213.87</v>
      </c>
      <c r="F771" s="15">
        <f>INDEX(monster!$I$2:$I$617,MATCH(C771,monster!$A$2:$A$617,0))</f>
        <v>6.42</v>
      </c>
      <c r="G771" s="15" t="b">
        <f t="shared" si="43"/>
        <v>0</v>
      </c>
      <c r="H771" s="31">
        <v>0</v>
      </c>
      <c r="I771" s="15">
        <f>IF(H771&gt;0,HLOOKUP(R771/100,数值规划表!$B$37:$AA$39,3),1)</f>
        <v>1</v>
      </c>
      <c r="J771" s="31" t="s">
        <v>1627</v>
      </c>
      <c r="K771" s="15">
        <f>INDEX(数值规划表!$B$15:$B$18,MATCH(J771,攻击范围,0))</f>
        <v>0.7</v>
      </c>
      <c r="L771" s="70">
        <v>1</v>
      </c>
      <c r="M771" s="41">
        <v>0</v>
      </c>
      <c r="N771" s="15">
        <f t="shared" si="44"/>
        <v>150</v>
      </c>
      <c r="O771" s="15">
        <f t="shared" si="45"/>
        <v>4.49</v>
      </c>
      <c r="P771" s="15">
        <f>IF(G771,INDEX(monster!$J$2:$J$606,MATCH(skill!C771,monster!$A$2:$A$606,0)),Q771)</f>
        <v>5</v>
      </c>
      <c r="Q771" s="70">
        <v>5</v>
      </c>
      <c r="R771" s="33">
        <v>350</v>
      </c>
    </row>
    <row r="772" spans="1:18" s="38" customFormat="1" x14ac:dyDescent="0.15">
      <c r="A772" s="32">
        <v>10815</v>
      </c>
      <c r="B772" s="32" t="s">
        <v>1542</v>
      </c>
      <c r="C772" s="31">
        <v>1450</v>
      </c>
      <c r="D772" s="32">
        <v>0</v>
      </c>
      <c r="E772" s="15">
        <f>INDEX(monster!$H$2:$H$617,MATCH(skill!C772,monster!$A$2:$A$617,0))</f>
        <v>58.94</v>
      </c>
      <c r="F772" s="15">
        <f>INDEX(monster!$I$2:$I$617,MATCH(C772,monster!$A$2:$A$617,0))</f>
        <v>1.77</v>
      </c>
      <c r="G772" s="15" t="b">
        <f t="shared" si="43"/>
        <v>1</v>
      </c>
      <c r="H772" s="31">
        <v>1</v>
      </c>
      <c r="I772" s="15">
        <f>IF(H772&gt;0,HLOOKUP(R772/100,数值规划表!$B$37:$AA$39,3),1)</f>
        <v>1.7999999999999998</v>
      </c>
      <c r="J772" s="31" t="s">
        <v>1625</v>
      </c>
      <c r="K772" s="15">
        <f>INDEX(数值规划表!$B$15:$B$18,MATCH(J772,攻击范围,0))</f>
        <v>1</v>
      </c>
      <c r="L772" s="30">
        <v>0.9</v>
      </c>
      <c r="M772" s="41">
        <v>0</v>
      </c>
      <c r="N772" s="15">
        <f t="shared" si="44"/>
        <v>95</v>
      </c>
      <c r="O772" s="15">
        <f t="shared" si="45"/>
        <v>2.87</v>
      </c>
      <c r="P772" s="15">
        <f>IF(G772,INDEX(monster!$J$2:$J$606,MATCH(skill!C772,monster!$A$2:$A$606,0)),Q772)</f>
        <v>5</v>
      </c>
      <c r="Q772" s="70"/>
      <c r="R772" s="33">
        <v>150</v>
      </c>
    </row>
    <row r="773" spans="1:18" s="38" customFormat="1" x14ac:dyDescent="0.15">
      <c r="A773" s="32">
        <v>10816</v>
      </c>
      <c r="B773" s="32" t="s">
        <v>1543</v>
      </c>
      <c r="C773" s="31">
        <v>1451</v>
      </c>
      <c r="D773" s="32">
        <v>1</v>
      </c>
      <c r="E773" s="15">
        <f>INDEX(monster!$H$2:$H$617,MATCH(skill!C773,monster!$A$2:$A$617,0))</f>
        <v>66.010000000000005</v>
      </c>
      <c r="F773" s="15">
        <f>INDEX(monster!$I$2:$I$617,MATCH(C773,monster!$A$2:$A$617,0))</f>
        <v>1.98</v>
      </c>
      <c r="G773" s="15" t="b">
        <f t="shared" si="43"/>
        <v>1</v>
      </c>
      <c r="H773" s="31">
        <v>1</v>
      </c>
      <c r="I773" s="15">
        <f>IF(H773&gt;0,HLOOKUP(R773/100,数值规划表!$B$37:$AA$39,3),1)</f>
        <v>1.7999999999999998</v>
      </c>
      <c r="J773" s="31" t="s">
        <v>1625</v>
      </c>
      <c r="K773" s="15">
        <f>INDEX(数值规划表!$B$15:$B$18,MATCH(J773,攻击范围,0))</f>
        <v>1</v>
      </c>
      <c r="L773" s="41">
        <v>0.9</v>
      </c>
      <c r="M773" s="41">
        <v>0</v>
      </c>
      <c r="N773" s="15">
        <f t="shared" si="44"/>
        <v>107</v>
      </c>
      <c r="O773" s="15">
        <f t="shared" si="45"/>
        <v>3.21</v>
      </c>
      <c r="P773" s="15">
        <f>IF(G773,INDEX(monster!$J$2:$J$606,MATCH(skill!C773,monster!$A$2:$A$606,0)),Q773)</f>
        <v>5</v>
      </c>
      <c r="Q773" s="70"/>
      <c r="R773" s="33">
        <v>150</v>
      </c>
    </row>
    <row r="774" spans="1:18" s="38" customFormat="1" x14ac:dyDescent="0.15">
      <c r="A774" s="32">
        <v>10817</v>
      </c>
      <c r="B774" s="32" t="s">
        <v>1121</v>
      </c>
      <c r="C774" s="31">
        <v>1452</v>
      </c>
      <c r="D774" s="32">
        <v>2</v>
      </c>
      <c r="E774" s="15">
        <f>INDEX(monster!$H$2:$H$617,MATCH(skill!C774,monster!$A$2:$A$617,0))</f>
        <v>73.930000000000007</v>
      </c>
      <c r="F774" s="15">
        <f>INDEX(monster!$I$2:$I$617,MATCH(C774,monster!$A$2:$A$617,0))</f>
        <v>2.2200000000000002</v>
      </c>
      <c r="G774" s="15" t="b">
        <f t="shared" si="43"/>
        <v>1</v>
      </c>
      <c r="H774" s="31">
        <v>1</v>
      </c>
      <c r="I774" s="15">
        <f>IF(H774&gt;0,HLOOKUP(R774/100,数值规划表!$B$37:$AA$39,3),1)</f>
        <v>1.7999999999999998</v>
      </c>
      <c r="J774" s="31" t="s">
        <v>1625</v>
      </c>
      <c r="K774" s="15">
        <f>INDEX(数值规划表!$B$15:$B$18,MATCH(J774,攻击范围,0))</f>
        <v>1</v>
      </c>
      <c r="L774" s="41">
        <v>0.9</v>
      </c>
      <c r="M774" s="41">
        <v>0</v>
      </c>
      <c r="N774" s="15">
        <f t="shared" si="44"/>
        <v>120</v>
      </c>
      <c r="O774" s="15">
        <f t="shared" si="45"/>
        <v>3.6</v>
      </c>
      <c r="P774" s="15">
        <f>IF(G774,INDEX(monster!$J$2:$J$606,MATCH(skill!C774,monster!$A$2:$A$606,0)),Q774)</f>
        <v>5</v>
      </c>
      <c r="Q774" s="70"/>
      <c r="R774" s="33">
        <v>150</v>
      </c>
    </row>
    <row r="775" spans="1:18" s="38" customFormat="1" x14ac:dyDescent="0.15">
      <c r="A775" s="32">
        <v>10818</v>
      </c>
      <c r="B775" s="32" t="s">
        <v>1122</v>
      </c>
      <c r="C775" s="31">
        <v>1453</v>
      </c>
      <c r="D775" s="32">
        <v>3</v>
      </c>
      <c r="E775" s="15">
        <f>INDEX(monster!$H$2:$H$617,MATCH(skill!C775,monster!$A$2:$A$617,0))</f>
        <v>82.81</v>
      </c>
      <c r="F775" s="15">
        <f>INDEX(monster!$I$2:$I$617,MATCH(C775,monster!$A$2:$A$617,0))</f>
        <v>2.48</v>
      </c>
      <c r="G775" s="15" t="b">
        <f t="shared" si="43"/>
        <v>1</v>
      </c>
      <c r="H775" s="31">
        <v>1</v>
      </c>
      <c r="I775" s="15">
        <f>IF(H775&gt;0,HLOOKUP(R775/100,数值规划表!$B$37:$AA$39,3),1)</f>
        <v>1.7999999999999998</v>
      </c>
      <c r="J775" s="31" t="s">
        <v>1625</v>
      </c>
      <c r="K775" s="15">
        <f>INDEX(数值规划表!$B$15:$B$18,MATCH(J775,攻击范围,0))</f>
        <v>1</v>
      </c>
      <c r="L775" s="41">
        <v>0.9</v>
      </c>
      <c r="M775" s="41">
        <v>0</v>
      </c>
      <c r="N775" s="15">
        <f t="shared" si="44"/>
        <v>134</v>
      </c>
      <c r="O775" s="15">
        <f t="shared" si="45"/>
        <v>4.0199999999999996</v>
      </c>
      <c r="P775" s="15">
        <f>IF(G775,INDEX(monster!$J$2:$J$606,MATCH(skill!C775,monster!$A$2:$A$606,0)),Q775)</f>
        <v>5</v>
      </c>
      <c r="Q775" s="70"/>
      <c r="R775" s="33">
        <v>150</v>
      </c>
    </row>
    <row r="776" spans="1:18" s="38" customFormat="1" x14ac:dyDescent="0.15">
      <c r="A776" s="32">
        <v>10819</v>
      </c>
      <c r="B776" s="32" t="s">
        <v>1123</v>
      </c>
      <c r="C776" s="31">
        <v>1454</v>
      </c>
      <c r="D776" s="32">
        <v>4</v>
      </c>
      <c r="E776" s="15">
        <f>INDEX(monster!$H$2:$H$617,MATCH(skill!C776,monster!$A$2:$A$617,0))</f>
        <v>92.74</v>
      </c>
      <c r="F776" s="15">
        <f>INDEX(monster!$I$2:$I$617,MATCH(C776,monster!$A$2:$A$617,0))</f>
        <v>2.78</v>
      </c>
      <c r="G776" s="15" t="b">
        <f t="shared" si="43"/>
        <v>1</v>
      </c>
      <c r="H776" s="31">
        <v>1</v>
      </c>
      <c r="I776" s="15">
        <f>IF(H776&gt;0,HLOOKUP(R776/100,数值规划表!$B$37:$AA$39,3),1)</f>
        <v>1.7999999999999998</v>
      </c>
      <c r="J776" s="31" t="s">
        <v>1625</v>
      </c>
      <c r="K776" s="15">
        <f>INDEX(数值规划表!$B$15:$B$18,MATCH(J776,攻击范围,0))</f>
        <v>1</v>
      </c>
      <c r="L776" s="41">
        <v>0.9</v>
      </c>
      <c r="M776" s="41">
        <v>0</v>
      </c>
      <c r="N776" s="15">
        <f t="shared" si="44"/>
        <v>150</v>
      </c>
      <c r="O776" s="15">
        <f t="shared" si="45"/>
        <v>4.5</v>
      </c>
      <c r="P776" s="15">
        <f>IF(G776,INDEX(monster!$J$2:$J$606,MATCH(skill!C776,monster!$A$2:$A$606,0)),Q776)</f>
        <v>5</v>
      </c>
      <c r="Q776" s="70"/>
      <c r="R776" s="33">
        <v>150</v>
      </c>
    </row>
    <row r="777" spans="1:18" s="38" customFormat="1" x14ac:dyDescent="0.15">
      <c r="A777" s="32">
        <v>10820</v>
      </c>
      <c r="B777" s="32" t="s">
        <v>1124</v>
      </c>
      <c r="C777" s="31">
        <v>1455</v>
      </c>
      <c r="D777" s="32">
        <v>5</v>
      </c>
      <c r="E777" s="15">
        <f>INDEX(monster!$H$2:$H$617,MATCH(skill!C777,monster!$A$2:$A$617,0))</f>
        <v>103.87</v>
      </c>
      <c r="F777" s="15">
        <f>INDEX(monster!$I$2:$I$617,MATCH(C777,monster!$A$2:$A$617,0))</f>
        <v>3.12</v>
      </c>
      <c r="G777" s="15" t="b">
        <f t="shared" si="43"/>
        <v>1</v>
      </c>
      <c r="H777" s="31">
        <v>1</v>
      </c>
      <c r="I777" s="15">
        <f>IF(H777&gt;0,HLOOKUP(R777/100,数值规划表!$B$37:$AA$39,3),1)</f>
        <v>1.7999999999999998</v>
      </c>
      <c r="J777" s="31" t="s">
        <v>1625</v>
      </c>
      <c r="K777" s="15">
        <f>INDEX(数值规划表!$B$15:$B$18,MATCH(J777,攻击范围,0))</f>
        <v>1</v>
      </c>
      <c r="L777" s="41">
        <v>0.9</v>
      </c>
      <c r="M777" s="41">
        <v>0</v>
      </c>
      <c r="N777" s="15">
        <f t="shared" si="44"/>
        <v>168</v>
      </c>
      <c r="O777" s="15">
        <f t="shared" si="45"/>
        <v>5.05</v>
      </c>
      <c r="P777" s="15">
        <f>IF(G777,INDEX(monster!$J$2:$J$606,MATCH(skill!C777,monster!$A$2:$A$606,0)),Q777)</f>
        <v>5</v>
      </c>
      <c r="Q777" s="70"/>
      <c r="R777" s="33">
        <v>150</v>
      </c>
    </row>
    <row r="778" spans="1:18" s="38" customFormat="1" x14ac:dyDescent="0.15">
      <c r="A778" s="32">
        <v>10821</v>
      </c>
      <c r="B778" s="32" t="s">
        <v>1125</v>
      </c>
      <c r="C778" s="31">
        <v>1456</v>
      </c>
      <c r="D778" s="32">
        <v>6</v>
      </c>
      <c r="E778" s="15">
        <f>INDEX(monster!$H$2:$H$617,MATCH(skill!C778,monster!$A$2:$A$617,0))</f>
        <v>116.34</v>
      </c>
      <c r="F778" s="15">
        <f>INDEX(monster!$I$2:$I$617,MATCH(C778,monster!$A$2:$A$617,0))</f>
        <v>3.49</v>
      </c>
      <c r="G778" s="15" t="b">
        <f t="shared" si="43"/>
        <v>1</v>
      </c>
      <c r="H778" s="31">
        <v>1</v>
      </c>
      <c r="I778" s="15">
        <f>IF(H778&gt;0,HLOOKUP(R778/100,数值规划表!$B$37:$AA$39,3),1)</f>
        <v>1.7999999999999998</v>
      </c>
      <c r="J778" s="31" t="s">
        <v>1625</v>
      </c>
      <c r="K778" s="15">
        <f>INDEX(数值规划表!$B$15:$B$18,MATCH(J778,攻击范围,0))</f>
        <v>1</v>
      </c>
      <c r="L778" s="41">
        <v>0.9</v>
      </c>
      <c r="M778" s="41">
        <v>0</v>
      </c>
      <c r="N778" s="15">
        <f t="shared" si="44"/>
        <v>188</v>
      </c>
      <c r="O778" s="15">
        <f t="shared" si="45"/>
        <v>5.65</v>
      </c>
      <c r="P778" s="15">
        <f>IF(G778,INDEX(monster!$J$2:$J$606,MATCH(skill!C778,monster!$A$2:$A$606,0)),Q778)</f>
        <v>5</v>
      </c>
      <c r="Q778" s="70"/>
      <c r="R778" s="33">
        <v>150</v>
      </c>
    </row>
    <row r="779" spans="1:18" s="38" customFormat="1" x14ac:dyDescent="0.15">
      <c r="A779" s="32">
        <v>10822</v>
      </c>
      <c r="B779" s="32" t="s">
        <v>1126</v>
      </c>
      <c r="C779" s="31">
        <v>1457</v>
      </c>
      <c r="D779" s="32">
        <v>7</v>
      </c>
      <c r="E779" s="15">
        <f>INDEX(monster!$H$2:$H$617,MATCH(skill!C779,monster!$A$2:$A$617,0))</f>
        <v>130.30000000000001</v>
      </c>
      <c r="F779" s="15">
        <f>INDEX(monster!$I$2:$I$617,MATCH(C779,monster!$A$2:$A$617,0))</f>
        <v>3.91</v>
      </c>
      <c r="G779" s="15" t="b">
        <f t="shared" si="43"/>
        <v>1</v>
      </c>
      <c r="H779" s="31">
        <v>1</v>
      </c>
      <c r="I779" s="15">
        <f>IF(H779&gt;0,HLOOKUP(R779/100,数值规划表!$B$37:$AA$39,3),1)</f>
        <v>1.7999999999999998</v>
      </c>
      <c r="J779" s="31" t="s">
        <v>1625</v>
      </c>
      <c r="K779" s="15">
        <f>INDEX(数值规划表!$B$15:$B$18,MATCH(J779,攻击范围,0))</f>
        <v>1</v>
      </c>
      <c r="L779" s="41">
        <v>0.9</v>
      </c>
      <c r="M779" s="41">
        <v>0</v>
      </c>
      <c r="N779" s="15">
        <f t="shared" si="44"/>
        <v>211</v>
      </c>
      <c r="O779" s="15">
        <f t="shared" si="45"/>
        <v>6.33</v>
      </c>
      <c r="P779" s="15">
        <f>IF(G779,INDEX(monster!$J$2:$J$606,MATCH(skill!C779,monster!$A$2:$A$606,0)),Q779)</f>
        <v>5</v>
      </c>
      <c r="Q779" s="70"/>
      <c r="R779" s="33">
        <v>150</v>
      </c>
    </row>
    <row r="780" spans="1:18" s="38" customFormat="1" x14ac:dyDescent="0.15">
      <c r="A780" s="32">
        <v>10823</v>
      </c>
      <c r="B780" s="32" t="s">
        <v>1127</v>
      </c>
      <c r="C780" s="31">
        <v>1458</v>
      </c>
      <c r="D780" s="32">
        <v>8</v>
      </c>
      <c r="E780" s="15">
        <f>INDEX(monster!$H$2:$H$617,MATCH(skill!C780,monster!$A$2:$A$617,0))</f>
        <v>145.93</v>
      </c>
      <c r="F780" s="15">
        <f>INDEX(monster!$I$2:$I$617,MATCH(C780,monster!$A$2:$A$617,0))</f>
        <v>4.38</v>
      </c>
      <c r="G780" s="15" t="b">
        <f t="shared" si="43"/>
        <v>1</v>
      </c>
      <c r="H780" s="31">
        <v>1</v>
      </c>
      <c r="I780" s="15">
        <f>IF(H780&gt;0,HLOOKUP(R780/100,数值规划表!$B$37:$AA$39,3),1)</f>
        <v>1.7999999999999998</v>
      </c>
      <c r="J780" s="31" t="s">
        <v>1625</v>
      </c>
      <c r="K780" s="15">
        <f>INDEX(数值规划表!$B$15:$B$18,MATCH(J780,攻击范围,0))</f>
        <v>1</v>
      </c>
      <c r="L780" s="41">
        <v>0.9</v>
      </c>
      <c r="M780" s="41">
        <v>0</v>
      </c>
      <c r="N780" s="15">
        <f t="shared" si="44"/>
        <v>236</v>
      </c>
      <c r="O780" s="15">
        <f t="shared" si="45"/>
        <v>7.1</v>
      </c>
      <c r="P780" s="15">
        <f>IF(G780,INDEX(monster!$J$2:$J$606,MATCH(skill!C780,monster!$A$2:$A$606,0)),Q780)</f>
        <v>5</v>
      </c>
      <c r="Q780" s="70"/>
      <c r="R780" s="33">
        <v>150</v>
      </c>
    </row>
    <row r="781" spans="1:18" s="38" customFormat="1" x14ac:dyDescent="0.15">
      <c r="A781" s="32">
        <v>10824</v>
      </c>
      <c r="B781" s="32" t="s">
        <v>1128</v>
      </c>
      <c r="C781" s="31">
        <v>1459</v>
      </c>
      <c r="D781" s="32">
        <v>9</v>
      </c>
      <c r="E781" s="15">
        <f>INDEX(monster!$H$2:$H$617,MATCH(skill!C781,monster!$A$2:$A$617,0))</f>
        <v>163.44999999999999</v>
      </c>
      <c r="F781" s="15">
        <f>INDEX(monster!$I$2:$I$617,MATCH(C781,monster!$A$2:$A$617,0))</f>
        <v>4.9000000000000004</v>
      </c>
      <c r="G781" s="15" t="b">
        <f t="shared" si="43"/>
        <v>1</v>
      </c>
      <c r="H781" s="31">
        <v>1</v>
      </c>
      <c r="I781" s="15">
        <f>IF(H781&gt;0,HLOOKUP(R781/100,数值规划表!$B$37:$AA$39,3),1)</f>
        <v>1.7999999999999998</v>
      </c>
      <c r="J781" s="31" t="s">
        <v>1625</v>
      </c>
      <c r="K781" s="15">
        <f>INDEX(数值规划表!$B$15:$B$18,MATCH(J781,攻击范围,0))</f>
        <v>1</v>
      </c>
      <c r="L781" s="41">
        <v>0.9</v>
      </c>
      <c r="M781" s="41">
        <v>0</v>
      </c>
      <c r="N781" s="15">
        <f t="shared" si="44"/>
        <v>265</v>
      </c>
      <c r="O781" s="15">
        <f t="shared" si="45"/>
        <v>7.94</v>
      </c>
      <c r="P781" s="15">
        <f>IF(G781,INDEX(monster!$J$2:$J$606,MATCH(skill!C781,monster!$A$2:$A$606,0)),Q781)</f>
        <v>5</v>
      </c>
      <c r="Q781" s="70"/>
      <c r="R781" s="33">
        <v>150</v>
      </c>
    </row>
    <row r="782" spans="1:18" s="38" customFormat="1" x14ac:dyDescent="0.15">
      <c r="A782" s="32">
        <v>10825</v>
      </c>
      <c r="B782" s="32" t="s">
        <v>1129</v>
      </c>
      <c r="C782" s="31">
        <v>1460</v>
      </c>
      <c r="D782" s="32">
        <v>10</v>
      </c>
      <c r="E782" s="15">
        <f>INDEX(monster!$H$2:$H$617,MATCH(skill!C782,monster!$A$2:$A$617,0))</f>
        <v>183.06</v>
      </c>
      <c r="F782" s="15">
        <f>INDEX(monster!$I$2:$I$617,MATCH(C782,monster!$A$2:$A$617,0))</f>
        <v>5.49</v>
      </c>
      <c r="G782" s="15" t="b">
        <f t="shared" si="43"/>
        <v>1</v>
      </c>
      <c r="H782" s="31">
        <v>1</v>
      </c>
      <c r="I782" s="15">
        <f>IF(H782&gt;0,HLOOKUP(R782/100,数值规划表!$B$37:$AA$39,3),1)</f>
        <v>1.7999999999999998</v>
      </c>
      <c r="J782" s="31" t="s">
        <v>1625</v>
      </c>
      <c r="K782" s="15">
        <f>INDEX(数值规划表!$B$15:$B$18,MATCH(J782,攻击范围,0))</f>
        <v>1</v>
      </c>
      <c r="L782" s="41">
        <v>0.9</v>
      </c>
      <c r="M782" s="41">
        <v>0</v>
      </c>
      <c r="N782" s="15">
        <f t="shared" si="44"/>
        <v>297</v>
      </c>
      <c r="O782" s="15">
        <f t="shared" si="45"/>
        <v>8.89</v>
      </c>
      <c r="P782" s="15">
        <f>IF(G782,INDEX(monster!$J$2:$J$606,MATCH(skill!C782,monster!$A$2:$A$606,0)),Q782)</f>
        <v>5</v>
      </c>
      <c r="Q782" s="70"/>
      <c r="R782" s="33">
        <v>150</v>
      </c>
    </row>
    <row r="783" spans="1:18" s="38" customFormat="1" x14ac:dyDescent="0.15">
      <c r="A783" s="32">
        <v>10827</v>
      </c>
      <c r="B783" s="32" t="s">
        <v>2657</v>
      </c>
      <c r="C783" s="31">
        <v>1450</v>
      </c>
      <c r="D783" s="32">
        <v>0</v>
      </c>
      <c r="E783" s="15">
        <f>INDEX(monster!$H$2:$H$617,MATCH(skill!C783,monster!$A$2:$A$617,0))</f>
        <v>58.94</v>
      </c>
      <c r="F783" s="15">
        <f>INDEX(monster!$I$2:$I$617,MATCH(C783,monster!$A$2:$A$617,0))</f>
        <v>1.77</v>
      </c>
      <c r="G783" s="15" t="b">
        <f t="shared" si="43"/>
        <v>1</v>
      </c>
      <c r="H783" s="31">
        <v>0</v>
      </c>
      <c r="I783" s="15">
        <f>IF(H783&gt;0,HLOOKUP(R783/100,数值规划表!$B$37:$AA$39,3),1)</f>
        <v>1</v>
      </c>
      <c r="J783" s="31" t="s">
        <v>1625</v>
      </c>
      <c r="K783" s="15">
        <f>INDEX(数值规划表!$B$15:$B$18,MATCH(J783,攻击范围,0))</f>
        <v>1</v>
      </c>
      <c r="L783" s="30">
        <v>1</v>
      </c>
      <c r="M783" s="41">
        <v>0</v>
      </c>
      <c r="N783" s="15">
        <f t="shared" si="44"/>
        <v>59</v>
      </c>
      <c r="O783" s="15">
        <f t="shared" si="45"/>
        <v>1.77</v>
      </c>
      <c r="P783" s="12">
        <v>5</v>
      </c>
      <c r="Q783" s="70"/>
      <c r="R783" s="33">
        <v>600</v>
      </c>
    </row>
    <row r="784" spans="1:18" s="38" customFormat="1" x14ac:dyDescent="0.15">
      <c r="A784" s="32">
        <v>10828</v>
      </c>
      <c r="B784" s="32" t="s">
        <v>1720</v>
      </c>
      <c r="C784" s="31">
        <v>1451</v>
      </c>
      <c r="D784" s="32">
        <v>1</v>
      </c>
      <c r="E784" s="15">
        <f>INDEX(monster!$H$2:$H$617,MATCH(skill!C784,monster!$A$2:$A$617,0))</f>
        <v>66.010000000000005</v>
      </c>
      <c r="F784" s="15">
        <f>INDEX(monster!$I$2:$I$617,MATCH(C784,monster!$A$2:$A$617,0))</f>
        <v>1.98</v>
      </c>
      <c r="G784" s="15" t="b">
        <f t="shared" si="43"/>
        <v>1</v>
      </c>
      <c r="H784" s="31">
        <v>0</v>
      </c>
      <c r="I784" s="15">
        <f>IF(H784&gt;0,HLOOKUP(R784/100,数值规划表!$B$37:$AA$39,3),1)</f>
        <v>1</v>
      </c>
      <c r="J784" s="31" t="s">
        <v>1625</v>
      </c>
      <c r="K784" s="15">
        <f>INDEX(数值规划表!$B$15:$B$18,MATCH(J784,攻击范围,0))</f>
        <v>1</v>
      </c>
      <c r="L784" s="30">
        <v>1</v>
      </c>
      <c r="M784" s="41">
        <v>0</v>
      </c>
      <c r="N784" s="15">
        <f t="shared" si="44"/>
        <v>66</v>
      </c>
      <c r="O784" s="15">
        <f t="shared" si="45"/>
        <v>1.98</v>
      </c>
      <c r="P784" s="12">
        <v>5.2</v>
      </c>
      <c r="Q784" s="70"/>
      <c r="R784" s="33">
        <v>600</v>
      </c>
    </row>
    <row r="785" spans="1:18" s="38" customFormat="1" x14ac:dyDescent="0.15">
      <c r="A785" s="32">
        <v>10829</v>
      </c>
      <c r="B785" s="32" t="s">
        <v>1721</v>
      </c>
      <c r="C785" s="31">
        <v>1452</v>
      </c>
      <c r="D785" s="32">
        <v>2</v>
      </c>
      <c r="E785" s="15">
        <f>INDEX(monster!$H$2:$H$617,MATCH(skill!C785,monster!$A$2:$A$617,0))</f>
        <v>73.930000000000007</v>
      </c>
      <c r="F785" s="15">
        <f>INDEX(monster!$I$2:$I$617,MATCH(C785,monster!$A$2:$A$617,0))</f>
        <v>2.2200000000000002</v>
      </c>
      <c r="G785" s="15" t="b">
        <f t="shared" si="43"/>
        <v>1</v>
      </c>
      <c r="H785" s="31">
        <v>0</v>
      </c>
      <c r="I785" s="15">
        <f>IF(H785&gt;0,HLOOKUP(R785/100,数值规划表!$B$37:$AA$39,3),1)</f>
        <v>1</v>
      </c>
      <c r="J785" s="31" t="s">
        <v>1625</v>
      </c>
      <c r="K785" s="15">
        <f>INDEX(数值规划表!$B$15:$B$18,MATCH(J785,攻击范围,0))</f>
        <v>1</v>
      </c>
      <c r="L785" s="30">
        <v>1</v>
      </c>
      <c r="M785" s="41">
        <v>0</v>
      </c>
      <c r="N785" s="15">
        <f t="shared" si="44"/>
        <v>74</v>
      </c>
      <c r="O785" s="15">
        <f t="shared" si="45"/>
        <v>2.2200000000000002</v>
      </c>
      <c r="P785" s="12">
        <v>5.4</v>
      </c>
      <c r="Q785" s="70"/>
      <c r="R785" s="33">
        <v>600</v>
      </c>
    </row>
    <row r="786" spans="1:18" s="38" customFormat="1" x14ac:dyDescent="0.15">
      <c r="A786" s="32">
        <v>10830</v>
      </c>
      <c r="B786" s="32" t="s">
        <v>1722</v>
      </c>
      <c r="C786" s="31">
        <v>1453</v>
      </c>
      <c r="D786" s="32">
        <v>3</v>
      </c>
      <c r="E786" s="15">
        <f>INDEX(monster!$H$2:$H$617,MATCH(skill!C786,monster!$A$2:$A$617,0))</f>
        <v>82.81</v>
      </c>
      <c r="F786" s="15">
        <f>INDEX(monster!$I$2:$I$617,MATCH(C786,monster!$A$2:$A$617,0))</f>
        <v>2.48</v>
      </c>
      <c r="G786" s="15" t="b">
        <f t="shared" si="43"/>
        <v>1</v>
      </c>
      <c r="H786" s="31">
        <v>0</v>
      </c>
      <c r="I786" s="15">
        <f>IF(H786&gt;0,HLOOKUP(R786/100,数值规划表!$B$37:$AA$39,3),1)</f>
        <v>1</v>
      </c>
      <c r="J786" s="31" t="s">
        <v>1625</v>
      </c>
      <c r="K786" s="15">
        <f>INDEX(数值规划表!$B$15:$B$18,MATCH(J786,攻击范围,0))</f>
        <v>1</v>
      </c>
      <c r="L786" s="30">
        <v>1</v>
      </c>
      <c r="M786" s="41">
        <v>0</v>
      </c>
      <c r="N786" s="15">
        <f t="shared" si="44"/>
        <v>83</v>
      </c>
      <c r="O786" s="15">
        <f t="shared" si="45"/>
        <v>2.48</v>
      </c>
      <c r="P786" s="12">
        <v>5.6</v>
      </c>
      <c r="Q786" s="70"/>
      <c r="R786" s="33">
        <v>600</v>
      </c>
    </row>
    <row r="787" spans="1:18" s="38" customFormat="1" x14ac:dyDescent="0.15">
      <c r="A787" s="32">
        <v>10831</v>
      </c>
      <c r="B787" s="32" t="s">
        <v>1723</v>
      </c>
      <c r="C787" s="31">
        <v>1454</v>
      </c>
      <c r="D787" s="32">
        <v>4</v>
      </c>
      <c r="E787" s="15">
        <f>INDEX(monster!$H$2:$H$617,MATCH(skill!C787,monster!$A$2:$A$617,0))</f>
        <v>92.74</v>
      </c>
      <c r="F787" s="15">
        <f>INDEX(monster!$I$2:$I$617,MATCH(C787,monster!$A$2:$A$617,0))</f>
        <v>2.78</v>
      </c>
      <c r="G787" s="15" t="b">
        <f t="shared" si="43"/>
        <v>1</v>
      </c>
      <c r="H787" s="31">
        <v>0</v>
      </c>
      <c r="I787" s="15">
        <f>IF(H787&gt;0,HLOOKUP(R787/100,数值规划表!$B$37:$AA$39,3),1)</f>
        <v>1</v>
      </c>
      <c r="J787" s="31" t="s">
        <v>1625</v>
      </c>
      <c r="K787" s="15">
        <f>INDEX(数值规划表!$B$15:$B$18,MATCH(J787,攻击范围,0))</f>
        <v>1</v>
      </c>
      <c r="L787" s="30">
        <v>1</v>
      </c>
      <c r="M787" s="41">
        <v>0</v>
      </c>
      <c r="N787" s="15">
        <f t="shared" si="44"/>
        <v>93</v>
      </c>
      <c r="O787" s="15">
        <f t="shared" si="45"/>
        <v>2.78</v>
      </c>
      <c r="P787" s="12">
        <v>5.8</v>
      </c>
      <c r="Q787" s="70"/>
      <c r="R787" s="33">
        <v>600</v>
      </c>
    </row>
    <row r="788" spans="1:18" s="38" customFormat="1" x14ac:dyDescent="0.15">
      <c r="A788" s="32">
        <v>10832</v>
      </c>
      <c r="B788" s="32" t="s">
        <v>1724</v>
      </c>
      <c r="C788" s="31">
        <v>1455</v>
      </c>
      <c r="D788" s="32">
        <v>5</v>
      </c>
      <c r="E788" s="15">
        <f>INDEX(monster!$H$2:$H$617,MATCH(skill!C788,monster!$A$2:$A$617,0))</f>
        <v>103.87</v>
      </c>
      <c r="F788" s="15">
        <f>INDEX(monster!$I$2:$I$617,MATCH(C788,monster!$A$2:$A$617,0))</f>
        <v>3.12</v>
      </c>
      <c r="G788" s="15" t="b">
        <f t="shared" si="43"/>
        <v>1</v>
      </c>
      <c r="H788" s="31">
        <v>0</v>
      </c>
      <c r="I788" s="15">
        <f>IF(H788&gt;0,HLOOKUP(R788/100,数值规划表!$B$37:$AA$39,3),1)</f>
        <v>1</v>
      </c>
      <c r="J788" s="31" t="s">
        <v>1625</v>
      </c>
      <c r="K788" s="15">
        <f>INDEX(数值规划表!$B$15:$B$18,MATCH(J788,攻击范围,0))</f>
        <v>1</v>
      </c>
      <c r="L788" s="30">
        <v>1</v>
      </c>
      <c r="M788" s="41">
        <v>0</v>
      </c>
      <c r="N788" s="15">
        <f t="shared" si="44"/>
        <v>104</v>
      </c>
      <c r="O788" s="15">
        <f t="shared" si="45"/>
        <v>3.12</v>
      </c>
      <c r="P788" s="12">
        <v>6</v>
      </c>
      <c r="Q788" s="70"/>
      <c r="R788" s="33">
        <v>600</v>
      </c>
    </row>
    <row r="789" spans="1:18" s="38" customFormat="1" x14ac:dyDescent="0.15">
      <c r="A789" s="32">
        <v>10833</v>
      </c>
      <c r="B789" s="32" t="s">
        <v>1725</v>
      </c>
      <c r="C789" s="31">
        <v>1456</v>
      </c>
      <c r="D789" s="32">
        <v>6</v>
      </c>
      <c r="E789" s="15">
        <f>INDEX(monster!$H$2:$H$617,MATCH(skill!C789,monster!$A$2:$A$617,0))</f>
        <v>116.34</v>
      </c>
      <c r="F789" s="15">
        <f>INDEX(monster!$I$2:$I$617,MATCH(C789,monster!$A$2:$A$617,0))</f>
        <v>3.49</v>
      </c>
      <c r="G789" s="15" t="b">
        <f t="shared" si="43"/>
        <v>1</v>
      </c>
      <c r="H789" s="31">
        <v>0</v>
      </c>
      <c r="I789" s="15">
        <f>IF(H789&gt;0,HLOOKUP(R789/100,数值规划表!$B$37:$AA$39,3),1)</f>
        <v>1</v>
      </c>
      <c r="J789" s="31" t="s">
        <v>1625</v>
      </c>
      <c r="K789" s="15">
        <f>INDEX(数值规划表!$B$15:$B$18,MATCH(J789,攻击范围,0))</f>
        <v>1</v>
      </c>
      <c r="L789" s="30">
        <v>1</v>
      </c>
      <c r="M789" s="41">
        <v>0</v>
      </c>
      <c r="N789" s="15">
        <f t="shared" si="44"/>
        <v>116</v>
      </c>
      <c r="O789" s="15">
        <f t="shared" si="45"/>
        <v>3.49</v>
      </c>
      <c r="P789" s="12">
        <v>6.2</v>
      </c>
      <c r="Q789" s="70"/>
      <c r="R789" s="33">
        <v>600</v>
      </c>
    </row>
    <row r="790" spans="1:18" s="38" customFormat="1" x14ac:dyDescent="0.15">
      <c r="A790" s="32">
        <v>10834</v>
      </c>
      <c r="B790" s="32" t="s">
        <v>1726</v>
      </c>
      <c r="C790" s="31">
        <v>1457</v>
      </c>
      <c r="D790" s="32">
        <v>7</v>
      </c>
      <c r="E790" s="15">
        <f>INDEX(monster!$H$2:$H$617,MATCH(skill!C790,monster!$A$2:$A$617,0))</f>
        <v>130.30000000000001</v>
      </c>
      <c r="F790" s="15">
        <f>INDEX(monster!$I$2:$I$617,MATCH(C790,monster!$A$2:$A$617,0))</f>
        <v>3.91</v>
      </c>
      <c r="G790" s="15" t="b">
        <f t="shared" si="43"/>
        <v>1</v>
      </c>
      <c r="H790" s="31">
        <v>0</v>
      </c>
      <c r="I790" s="15">
        <f>IF(H790&gt;0,HLOOKUP(R790/100,数值规划表!$B$37:$AA$39,3),1)</f>
        <v>1</v>
      </c>
      <c r="J790" s="31" t="s">
        <v>1625</v>
      </c>
      <c r="K790" s="15">
        <f>INDEX(数值规划表!$B$15:$B$18,MATCH(J790,攻击范围,0))</f>
        <v>1</v>
      </c>
      <c r="L790" s="30">
        <v>1</v>
      </c>
      <c r="M790" s="41">
        <v>0</v>
      </c>
      <c r="N790" s="15">
        <f t="shared" si="44"/>
        <v>130</v>
      </c>
      <c r="O790" s="15">
        <f t="shared" si="45"/>
        <v>3.91</v>
      </c>
      <c r="P790" s="12">
        <v>6.4</v>
      </c>
      <c r="Q790" s="70"/>
      <c r="R790" s="33">
        <v>600</v>
      </c>
    </row>
    <row r="791" spans="1:18" s="38" customFormat="1" x14ac:dyDescent="0.15">
      <c r="A791" s="32">
        <v>10835</v>
      </c>
      <c r="B791" s="32" t="s">
        <v>1727</v>
      </c>
      <c r="C791" s="31">
        <v>1458</v>
      </c>
      <c r="D791" s="32">
        <v>8</v>
      </c>
      <c r="E791" s="15">
        <f>INDEX(monster!$H$2:$H$617,MATCH(skill!C791,monster!$A$2:$A$617,0))</f>
        <v>145.93</v>
      </c>
      <c r="F791" s="15">
        <f>INDEX(monster!$I$2:$I$617,MATCH(C791,monster!$A$2:$A$617,0))</f>
        <v>4.38</v>
      </c>
      <c r="G791" s="15" t="b">
        <f t="shared" si="43"/>
        <v>1</v>
      </c>
      <c r="H791" s="31">
        <v>0</v>
      </c>
      <c r="I791" s="15">
        <f>IF(H791&gt;0,HLOOKUP(R791/100,数值规划表!$B$37:$AA$39,3),1)</f>
        <v>1</v>
      </c>
      <c r="J791" s="31" t="s">
        <v>1625</v>
      </c>
      <c r="K791" s="15">
        <f>INDEX(数值规划表!$B$15:$B$18,MATCH(J791,攻击范围,0))</f>
        <v>1</v>
      </c>
      <c r="L791" s="30">
        <v>1</v>
      </c>
      <c r="M791" s="41">
        <v>0</v>
      </c>
      <c r="N791" s="15">
        <f t="shared" si="44"/>
        <v>146</v>
      </c>
      <c r="O791" s="15">
        <f t="shared" si="45"/>
        <v>4.38</v>
      </c>
      <c r="P791" s="12">
        <v>6.6</v>
      </c>
      <c r="Q791" s="70"/>
      <c r="R791" s="33">
        <v>600</v>
      </c>
    </row>
    <row r="792" spans="1:18" s="38" customFormat="1" x14ac:dyDescent="0.15">
      <c r="A792" s="32">
        <v>10836</v>
      </c>
      <c r="B792" s="32" t="s">
        <v>1728</v>
      </c>
      <c r="C792" s="31">
        <v>1459</v>
      </c>
      <c r="D792" s="32">
        <v>9</v>
      </c>
      <c r="E792" s="15">
        <f>INDEX(monster!$H$2:$H$617,MATCH(skill!C792,monster!$A$2:$A$617,0))</f>
        <v>163.44999999999999</v>
      </c>
      <c r="F792" s="15">
        <f>INDEX(monster!$I$2:$I$617,MATCH(C792,monster!$A$2:$A$617,0))</f>
        <v>4.9000000000000004</v>
      </c>
      <c r="G792" s="15" t="b">
        <f t="shared" si="43"/>
        <v>1</v>
      </c>
      <c r="H792" s="31">
        <v>0</v>
      </c>
      <c r="I792" s="15">
        <f>IF(H792&gt;0,HLOOKUP(R792/100,数值规划表!$B$37:$AA$39,3),1)</f>
        <v>1</v>
      </c>
      <c r="J792" s="31" t="s">
        <v>1625</v>
      </c>
      <c r="K792" s="15">
        <f>INDEX(数值规划表!$B$15:$B$18,MATCH(J792,攻击范围,0))</f>
        <v>1</v>
      </c>
      <c r="L792" s="30">
        <v>1</v>
      </c>
      <c r="M792" s="41">
        <v>0</v>
      </c>
      <c r="N792" s="15">
        <f t="shared" si="44"/>
        <v>163</v>
      </c>
      <c r="O792" s="15">
        <f t="shared" si="45"/>
        <v>4.9000000000000004</v>
      </c>
      <c r="P792" s="12">
        <v>6.8</v>
      </c>
      <c r="Q792" s="70"/>
      <c r="R792" s="33">
        <v>600</v>
      </c>
    </row>
    <row r="793" spans="1:18" s="38" customFormat="1" x14ac:dyDescent="0.15">
      <c r="A793" s="32">
        <v>10837</v>
      </c>
      <c r="B793" s="32" t="s">
        <v>1729</v>
      </c>
      <c r="C793" s="31">
        <v>1460</v>
      </c>
      <c r="D793" s="32">
        <v>10</v>
      </c>
      <c r="E793" s="15">
        <f>INDEX(monster!$H$2:$H$617,MATCH(skill!C793,monster!$A$2:$A$617,0))</f>
        <v>183.06</v>
      </c>
      <c r="F793" s="15">
        <f>INDEX(monster!$I$2:$I$617,MATCH(C793,monster!$A$2:$A$617,0))</f>
        <v>5.49</v>
      </c>
      <c r="G793" s="15" t="b">
        <f t="shared" si="43"/>
        <v>1</v>
      </c>
      <c r="H793" s="31">
        <v>0</v>
      </c>
      <c r="I793" s="15">
        <f>IF(H793&gt;0,HLOOKUP(R793/100,数值规划表!$B$37:$AA$39,3),1)</f>
        <v>1</v>
      </c>
      <c r="J793" s="31" t="s">
        <v>1625</v>
      </c>
      <c r="K793" s="15">
        <f>INDEX(数值规划表!$B$15:$B$18,MATCH(J793,攻击范围,0))</f>
        <v>1</v>
      </c>
      <c r="L793" s="30">
        <v>1</v>
      </c>
      <c r="M793" s="41">
        <v>0</v>
      </c>
      <c r="N793" s="15">
        <f t="shared" si="44"/>
        <v>183</v>
      </c>
      <c r="O793" s="15">
        <f t="shared" si="45"/>
        <v>5.49</v>
      </c>
      <c r="P793" s="12">
        <v>7</v>
      </c>
      <c r="Q793" s="70"/>
      <c r="R793" s="33">
        <v>600</v>
      </c>
    </row>
    <row r="794" spans="1:18" s="38" customFormat="1" x14ac:dyDescent="0.15">
      <c r="A794" s="32">
        <v>10838</v>
      </c>
      <c r="B794" s="32" t="s">
        <v>1544</v>
      </c>
      <c r="C794" s="31">
        <v>1056</v>
      </c>
      <c r="D794" s="32">
        <v>0</v>
      </c>
      <c r="E794" s="15">
        <f>INDEX(monster!$H$2:$H$617,MATCH(skill!C794,monster!$A$2:$A$617,0))</f>
        <v>35.700000000000003</v>
      </c>
      <c r="F794" s="15">
        <f>INDEX(monster!$I$2:$I$617,MATCH(C794,monster!$A$2:$A$617,0))</f>
        <v>1.07</v>
      </c>
      <c r="G794" s="15" t="b">
        <f t="shared" si="43"/>
        <v>0</v>
      </c>
      <c r="H794" s="31">
        <v>0</v>
      </c>
      <c r="I794" s="15">
        <f>IF(H794&gt;0,HLOOKUP(R794/100,数值规划表!$B$37:$AA$39,3),1)</f>
        <v>1</v>
      </c>
      <c r="J794" s="31" t="s">
        <v>1627</v>
      </c>
      <c r="K794" s="15">
        <f>INDEX(数值规划表!$B$15:$B$18,MATCH(J794,攻击范围,0))</f>
        <v>0.7</v>
      </c>
      <c r="L794" s="30">
        <v>0.85</v>
      </c>
      <c r="M794" s="41">
        <v>0</v>
      </c>
      <c r="N794" s="15">
        <f t="shared" si="44"/>
        <v>21</v>
      </c>
      <c r="O794" s="15">
        <f t="shared" si="45"/>
        <v>0.64</v>
      </c>
      <c r="P794" s="15">
        <f>IF(G794,INDEX(monster!$J$2:$J$606,MATCH(skill!C794,monster!$A$2:$A$606,0)),Q794)</f>
        <v>0</v>
      </c>
      <c r="Q794" s="70"/>
      <c r="R794" s="33">
        <v>150</v>
      </c>
    </row>
    <row r="795" spans="1:18" s="38" customFormat="1" x14ac:dyDescent="0.15">
      <c r="A795" s="32">
        <v>10839</v>
      </c>
      <c r="B795" s="32" t="s">
        <v>1545</v>
      </c>
      <c r="C795" s="31">
        <v>1057</v>
      </c>
      <c r="D795" s="32">
        <v>1</v>
      </c>
      <c r="E795" s="15">
        <f>INDEX(monster!$H$2:$H$617,MATCH(skill!C795,monster!$A$2:$A$617,0))</f>
        <v>39.979999999999997</v>
      </c>
      <c r="F795" s="15">
        <f>INDEX(monster!$I$2:$I$617,MATCH(C795,monster!$A$2:$A$617,0))</f>
        <v>1.2</v>
      </c>
      <c r="G795" s="15" t="b">
        <f t="shared" si="43"/>
        <v>0</v>
      </c>
      <c r="H795" s="31">
        <v>0</v>
      </c>
      <c r="I795" s="15">
        <f>IF(H795&gt;0,HLOOKUP(R795/100,数值规划表!$B$37:$AA$39,3),1)</f>
        <v>1</v>
      </c>
      <c r="J795" s="31" t="s">
        <v>1627</v>
      </c>
      <c r="K795" s="15">
        <f>INDEX(数值规划表!$B$15:$B$18,MATCH(J795,攻击范围,0))</f>
        <v>0.7</v>
      </c>
      <c r="L795" s="70">
        <v>0.85</v>
      </c>
      <c r="M795" s="41">
        <v>0</v>
      </c>
      <c r="N795" s="15">
        <f t="shared" si="44"/>
        <v>24</v>
      </c>
      <c r="O795" s="15">
        <f t="shared" si="45"/>
        <v>0.71</v>
      </c>
      <c r="P795" s="15">
        <f>IF(G795,INDEX(monster!$J$2:$J$606,MATCH(skill!C795,monster!$A$2:$A$606,0)),Q795)</f>
        <v>0</v>
      </c>
      <c r="Q795" s="70"/>
      <c r="R795" s="33">
        <v>150</v>
      </c>
    </row>
    <row r="796" spans="1:18" s="38" customFormat="1" x14ac:dyDescent="0.15">
      <c r="A796" s="32">
        <v>10840</v>
      </c>
      <c r="B796" s="32" t="s">
        <v>1130</v>
      </c>
      <c r="C796" s="31">
        <v>1058</v>
      </c>
      <c r="D796" s="32">
        <v>2</v>
      </c>
      <c r="E796" s="15">
        <f>INDEX(monster!$H$2:$H$617,MATCH(skill!C796,monster!$A$2:$A$617,0))</f>
        <v>44.78</v>
      </c>
      <c r="F796" s="15">
        <f>INDEX(monster!$I$2:$I$617,MATCH(C796,monster!$A$2:$A$617,0))</f>
        <v>1.34</v>
      </c>
      <c r="G796" s="15" t="b">
        <f t="shared" si="43"/>
        <v>0</v>
      </c>
      <c r="H796" s="31">
        <v>0</v>
      </c>
      <c r="I796" s="15">
        <f>IF(H796&gt;0,HLOOKUP(R796/100,数值规划表!$B$37:$AA$39,3),1)</f>
        <v>1</v>
      </c>
      <c r="J796" s="31" t="s">
        <v>1627</v>
      </c>
      <c r="K796" s="15">
        <f>INDEX(数值规划表!$B$15:$B$18,MATCH(J796,攻击范围,0))</f>
        <v>0.7</v>
      </c>
      <c r="L796" s="70">
        <v>0.85</v>
      </c>
      <c r="M796" s="41">
        <v>0</v>
      </c>
      <c r="N796" s="15">
        <f t="shared" si="44"/>
        <v>27</v>
      </c>
      <c r="O796" s="15">
        <f t="shared" si="45"/>
        <v>0.8</v>
      </c>
      <c r="P796" s="15">
        <f>IF(G796,INDEX(monster!$J$2:$J$606,MATCH(skill!C796,monster!$A$2:$A$606,0)),Q796)</f>
        <v>0</v>
      </c>
      <c r="Q796" s="70"/>
      <c r="R796" s="33">
        <v>150</v>
      </c>
    </row>
    <row r="797" spans="1:18" s="38" customFormat="1" x14ac:dyDescent="0.15">
      <c r="A797" s="32">
        <v>10841</v>
      </c>
      <c r="B797" s="32" t="s">
        <v>1131</v>
      </c>
      <c r="C797" s="31">
        <v>1059</v>
      </c>
      <c r="D797" s="32">
        <v>3</v>
      </c>
      <c r="E797" s="15">
        <f>INDEX(monster!$H$2:$H$617,MATCH(skill!C797,monster!$A$2:$A$617,0))</f>
        <v>50.16</v>
      </c>
      <c r="F797" s="15">
        <f>INDEX(monster!$I$2:$I$617,MATCH(C797,monster!$A$2:$A$617,0))</f>
        <v>1.5</v>
      </c>
      <c r="G797" s="15" t="b">
        <f t="shared" ref="G797:G860" si="46">ISNUMBER(FIND("普攻",B797))</f>
        <v>0</v>
      </c>
      <c r="H797" s="31">
        <v>0</v>
      </c>
      <c r="I797" s="15">
        <f>IF(H797&gt;0,HLOOKUP(R797/100,数值规划表!$B$37:$AA$39,3),1)</f>
        <v>1</v>
      </c>
      <c r="J797" s="31" t="s">
        <v>1627</v>
      </c>
      <c r="K797" s="15">
        <f>INDEX(数值规划表!$B$15:$B$18,MATCH(J797,攻击范围,0))</f>
        <v>0.7</v>
      </c>
      <c r="L797" s="70">
        <v>0.85</v>
      </c>
      <c r="M797" s="41">
        <v>0</v>
      </c>
      <c r="N797" s="15">
        <f t="shared" si="44"/>
        <v>30</v>
      </c>
      <c r="O797" s="15">
        <f t="shared" si="45"/>
        <v>0.89</v>
      </c>
      <c r="P797" s="15">
        <f>IF(G797,INDEX(monster!$J$2:$J$606,MATCH(skill!C797,monster!$A$2:$A$606,0)),Q797)</f>
        <v>0</v>
      </c>
      <c r="Q797" s="70"/>
      <c r="R797" s="33">
        <v>150</v>
      </c>
    </row>
    <row r="798" spans="1:18" s="38" customFormat="1" x14ac:dyDescent="0.15">
      <c r="A798" s="32">
        <v>10842</v>
      </c>
      <c r="B798" s="32" t="s">
        <v>1132</v>
      </c>
      <c r="C798" s="31">
        <v>1060</v>
      </c>
      <c r="D798" s="32">
        <v>4</v>
      </c>
      <c r="E798" s="15">
        <f>INDEX(monster!$H$2:$H$617,MATCH(skill!C798,monster!$A$2:$A$617,0))</f>
        <v>56.17</v>
      </c>
      <c r="F798" s="15">
        <f>INDEX(monster!$I$2:$I$617,MATCH(C798,monster!$A$2:$A$617,0))</f>
        <v>1.69</v>
      </c>
      <c r="G798" s="15" t="b">
        <f t="shared" si="46"/>
        <v>0</v>
      </c>
      <c r="H798" s="31">
        <v>0</v>
      </c>
      <c r="I798" s="15">
        <f>IF(H798&gt;0,HLOOKUP(R798/100,数值规划表!$B$37:$AA$39,3),1)</f>
        <v>1</v>
      </c>
      <c r="J798" s="31" t="s">
        <v>1627</v>
      </c>
      <c r="K798" s="15">
        <f>INDEX(数值规划表!$B$15:$B$18,MATCH(J798,攻击范围,0))</f>
        <v>0.7</v>
      </c>
      <c r="L798" s="70">
        <v>0.85</v>
      </c>
      <c r="M798" s="41">
        <v>0</v>
      </c>
      <c r="N798" s="15">
        <f t="shared" si="44"/>
        <v>33</v>
      </c>
      <c r="O798" s="15">
        <f t="shared" si="45"/>
        <v>1.01</v>
      </c>
      <c r="P798" s="15">
        <f>IF(G798,INDEX(monster!$J$2:$J$606,MATCH(skill!C798,monster!$A$2:$A$606,0)),Q798)</f>
        <v>0</v>
      </c>
      <c r="Q798" s="70"/>
      <c r="R798" s="33">
        <v>150</v>
      </c>
    </row>
    <row r="799" spans="1:18" s="38" customFormat="1" x14ac:dyDescent="0.15">
      <c r="A799" s="32">
        <v>10843</v>
      </c>
      <c r="B799" s="32" t="s">
        <v>1133</v>
      </c>
      <c r="C799" s="31">
        <v>1061</v>
      </c>
      <c r="D799" s="32">
        <v>5</v>
      </c>
      <c r="E799" s="15">
        <f>INDEX(monster!$H$2:$H$617,MATCH(skill!C799,monster!$A$2:$A$617,0))</f>
        <v>62.92</v>
      </c>
      <c r="F799" s="15">
        <f>INDEX(monster!$I$2:$I$617,MATCH(C799,monster!$A$2:$A$617,0))</f>
        <v>1.89</v>
      </c>
      <c r="G799" s="15" t="b">
        <f t="shared" si="46"/>
        <v>0</v>
      </c>
      <c r="H799" s="31">
        <v>0</v>
      </c>
      <c r="I799" s="15">
        <f>IF(H799&gt;0,HLOOKUP(R799/100,数值规划表!$B$37:$AA$39,3),1)</f>
        <v>1</v>
      </c>
      <c r="J799" s="31" t="s">
        <v>1627</v>
      </c>
      <c r="K799" s="15">
        <f>INDEX(数值规划表!$B$15:$B$18,MATCH(J799,攻击范围,0))</f>
        <v>0.7</v>
      </c>
      <c r="L799" s="70">
        <v>0.85</v>
      </c>
      <c r="M799" s="41">
        <v>0</v>
      </c>
      <c r="N799" s="15">
        <f t="shared" si="44"/>
        <v>37</v>
      </c>
      <c r="O799" s="15">
        <f t="shared" si="45"/>
        <v>1.1200000000000001</v>
      </c>
      <c r="P799" s="15">
        <f>IF(G799,INDEX(monster!$J$2:$J$606,MATCH(skill!C799,monster!$A$2:$A$606,0)),Q799)</f>
        <v>0</v>
      </c>
      <c r="Q799" s="70"/>
      <c r="R799" s="33">
        <v>150</v>
      </c>
    </row>
    <row r="800" spans="1:18" s="38" customFormat="1" x14ac:dyDescent="0.15">
      <c r="A800" s="32">
        <v>10844</v>
      </c>
      <c r="B800" s="32" t="s">
        <v>1134</v>
      </c>
      <c r="C800" s="31">
        <v>1062</v>
      </c>
      <c r="D800" s="32">
        <v>6</v>
      </c>
      <c r="E800" s="15">
        <f>INDEX(monster!$H$2:$H$617,MATCH(skill!C800,monster!$A$2:$A$617,0))</f>
        <v>70.47</v>
      </c>
      <c r="F800" s="15">
        <f>INDEX(monster!$I$2:$I$617,MATCH(C800,monster!$A$2:$A$617,0))</f>
        <v>2.11</v>
      </c>
      <c r="G800" s="15" t="b">
        <f t="shared" si="46"/>
        <v>0</v>
      </c>
      <c r="H800" s="31">
        <v>0</v>
      </c>
      <c r="I800" s="15">
        <f>IF(H800&gt;0,HLOOKUP(R800/100,数值规划表!$B$37:$AA$39,3),1)</f>
        <v>1</v>
      </c>
      <c r="J800" s="31" t="s">
        <v>1627</v>
      </c>
      <c r="K800" s="15">
        <f>INDEX(数值规划表!$B$15:$B$18,MATCH(J800,攻击范围,0))</f>
        <v>0.7</v>
      </c>
      <c r="L800" s="70">
        <v>0.85</v>
      </c>
      <c r="M800" s="41">
        <v>0</v>
      </c>
      <c r="N800" s="15">
        <f t="shared" si="44"/>
        <v>42</v>
      </c>
      <c r="O800" s="15">
        <f t="shared" si="45"/>
        <v>1.26</v>
      </c>
      <c r="P800" s="15">
        <f>IF(G800,INDEX(monster!$J$2:$J$606,MATCH(skill!C800,monster!$A$2:$A$606,0)),Q800)</f>
        <v>0</v>
      </c>
      <c r="Q800" s="70"/>
      <c r="R800" s="33">
        <v>150</v>
      </c>
    </row>
    <row r="801" spans="1:18" s="38" customFormat="1" x14ac:dyDescent="0.15">
      <c r="A801" s="32">
        <v>10845</v>
      </c>
      <c r="B801" s="32" t="s">
        <v>1135</v>
      </c>
      <c r="C801" s="31">
        <v>1063</v>
      </c>
      <c r="D801" s="32">
        <v>7</v>
      </c>
      <c r="E801" s="15">
        <f>INDEX(monster!$H$2:$H$617,MATCH(skill!C801,monster!$A$2:$A$617,0))</f>
        <v>78.92</v>
      </c>
      <c r="F801" s="15">
        <f>INDEX(monster!$I$2:$I$617,MATCH(C801,monster!$A$2:$A$617,0))</f>
        <v>2.37</v>
      </c>
      <c r="G801" s="15" t="b">
        <f t="shared" si="46"/>
        <v>0</v>
      </c>
      <c r="H801" s="31">
        <v>0</v>
      </c>
      <c r="I801" s="15">
        <f>IF(H801&gt;0,HLOOKUP(R801/100,数值规划表!$B$37:$AA$39,3),1)</f>
        <v>1</v>
      </c>
      <c r="J801" s="31" t="s">
        <v>1627</v>
      </c>
      <c r="K801" s="15">
        <f>INDEX(数值规划表!$B$15:$B$18,MATCH(J801,攻击范围,0))</f>
        <v>0.7</v>
      </c>
      <c r="L801" s="70">
        <v>0.85</v>
      </c>
      <c r="M801" s="41">
        <v>0</v>
      </c>
      <c r="N801" s="15">
        <f t="shared" si="44"/>
        <v>47</v>
      </c>
      <c r="O801" s="15">
        <f t="shared" si="45"/>
        <v>1.41</v>
      </c>
      <c r="P801" s="15">
        <f>IF(G801,INDEX(monster!$J$2:$J$606,MATCH(skill!C801,monster!$A$2:$A$606,0)),Q801)</f>
        <v>0</v>
      </c>
      <c r="Q801" s="70"/>
      <c r="R801" s="33">
        <v>150</v>
      </c>
    </row>
    <row r="802" spans="1:18" s="38" customFormat="1" x14ac:dyDescent="0.15">
      <c r="A802" s="32">
        <v>10846</v>
      </c>
      <c r="B802" s="32" t="s">
        <v>1136</v>
      </c>
      <c r="C802" s="31">
        <v>1064</v>
      </c>
      <c r="D802" s="32">
        <v>8</v>
      </c>
      <c r="E802" s="15">
        <f>INDEX(monster!$H$2:$H$617,MATCH(skill!C802,monster!$A$2:$A$617,0))</f>
        <v>88.39</v>
      </c>
      <c r="F802" s="15">
        <f>INDEX(monster!$I$2:$I$617,MATCH(C802,monster!$A$2:$A$617,0))</f>
        <v>2.65</v>
      </c>
      <c r="G802" s="15" t="b">
        <f t="shared" si="46"/>
        <v>0</v>
      </c>
      <c r="H802" s="31">
        <v>0</v>
      </c>
      <c r="I802" s="15">
        <f>IF(H802&gt;0,HLOOKUP(R802/100,数值规划表!$B$37:$AA$39,3),1)</f>
        <v>1</v>
      </c>
      <c r="J802" s="31" t="s">
        <v>1627</v>
      </c>
      <c r="K802" s="15">
        <f>INDEX(数值规划表!$B$15:$B$18,MATCH(J802,攻击范围,0))</f>
        <v>0.7</v>
      </c>
      <c r="L802" s="70">
        <v>0.85</v>
      </c>
      <c r="M802" s="41">
        <v>0</v>
      </c>
      <c r="N802" s="15">
        <f t="shared" si="44"/>
        <v>53</v>
      </c>
      <c r="O802" s="15">
        <f t="shared" si="45"/>
        <v>1.58</v>
      </c>
      <c r="P802" s="15">
        <f>IF(G802,INDEX(monster!$J$2:$J$606,MATCH(skill!C802,monster!$A$2:$A$606,0)),Q802)</f>
        <v>0</v>
      </c>
      <c r="Q802" s="70"/>
      <c r="R802" s="33">
        <v>150</v>
      </c>
    </row>
    <row r="803" spans="1:18" s="38" customFormat="1" x14ac:dyDescent="0.15">
      <c r="A803" s="32">
        <v>10847</v>
      </c>
      <c r="B803" s="32" t="s">
        <v>1137</v>
      </c>
      <c r="C803" s="31">
        <v>1065</v>
      </c>
      <c r="D803" s="32">
        <v>9</v>
      </c>
      <c r="E803" s="15">
        <f>INDEX(monster!$H$2:$H$617,MATCH(skill!C803,monster!$A$2:$A$617,0))</f>
        <v>99</v>
      </c>
      <c r="F803" s="15">
        <f>INDEX(monster!$I$2:$I$617,MATCH(C803,monster!$A$2:$A$617,0))</f>
        <v>2.97</v>
      </c>
      <c r="G803" s="15" t="b">
        <f t="shared" si="46"/>
        <v>0</v>
      </c>
      <c r="H803" s="31">
        <v>0</v>
      </c>
      <c r="I803" s="15">
        <f>IF(H803&gt;0,HLOOKUP(R803/100,数值规划表!$B$37:$AA$39,3),1)</f>
        <v>1</v>
      </c>
      <c r="J803" s="31" t="s">
        <v>1627</v>
      </c>
      <c r="K803" s="15">
        <f>INDEX(数值规划表!$B$15:$B$18,MATCH(J803,攻击范围,0))</f>
        <v>0.7</v>
      </c>
      <c r="L803" s="70">
        <v>0.85</v>
      </c>
      <c r="M803" s="41">
        <v>0</v>
      </c>
      <c r="N803" s="15">
        <f t="shared" si="44"/>
        <v>59</v>
      </c>
      <c r="O803" s="15">
        <f t="shared" si="45"/>
        <v>1.77</v>
      </c>
      <c r="P803" s="15">
        <f>IF(G803,INDEX(monster!$J$2:$J$606,MATCH(skill!C803,monster!$A$2:$A$606,0)),Q803)</f>
        <v>0</v>
      </c>
      <c r="Q803" s="70"/>
      <c r="R803" s="33">
        <v>150</v>
      </c>
    </row>
    <row r="804" spans="1:18" s="38" customFormat="1" x14ac:dyDescent="0.15">
      <c r="A804" s="32">
        <v>10848</v>
      </c>
      <c r="B804" s="32" t="s">
        <v>1138</v>
      </c>
      <c r="C804" s="31">
        <v>1066</v>
      </c>
      <c r="D804" s="32">
        <v>10</v>
      </c>
      <c r="E804" s="15">
        <f>INDEX(monster!$H$2:$H$617,MATCH(skill!C804,monster!$A$2:$A$617,0))</f>
        <v>110.88</v>
      </c>
      <c r="F804" s="15">
        <f>INDEX(monster!$I$2:$I$617,MATCH(C804,monster!$A$2:$A$617,0))</f>
        <v>3.33</v>
      </c>
      <c r="G804" s="15" t="b">
        <f t="shared" si="46"/>
        <v>0</v>
      </c>
      <c r="H804" s="31">
        <v>0</v>
      </c>
      <c r="I804" s="15">
        <f>IF(H804&gt;0,HLOOKUP(R804/100,数值规划表!$B$37:$AA$39,3),1)</f>
        <v>1</v>
      </c>
      <c r="J804" s="31" t="s">
        <v>1627</v>
      </c>
      <c r="K804" s="15">
        <f>INDEX(数值规划表!$B$15:$B$18,MATCH(J804,攻击范围,0))</f>
        <v>0.7</v>
      </c>
      <c r="L804" s="70">
        <v>0.85</v>
      </c>
      <c r="M804" s="41">
        <v>0</v>
      </c>
      <c r="N804" s="15">
        <f t="shared" si="44"/>
        <v>66</v>
      </c>
      <c r="O804" s="15">
        <f t="shared" si="45"/>
        <v>1.98</v>
      </c>
      <c r="P804" s="15">
        <f>IF(G804,INDEX(monster!$J$2:$J$606,MATCH(skill!C804,monster!$A$2:$A$606,0)),Q804)</f>
        <v>0</v>
      </c>
      <c r="Q804" s="70"/>
      <c r="R804" s="33">
        <v>150</v>
      </c>
    </row>
    <row r="805" spans="1:18" x14ac:dyDescent="0.15">
      <c r="A805" s="32">
        <v>10849</v>
      </c>
      <c r="B805" s="31" t="s">
        <v>1546</v>
      </c>
      <c r="C805" s="31">
        <v>1373</v>
      </c>
      <c r="D805" s="32">
        <v>0</v>
      </c>
      <c r="E805" s="15">
        <f>INDEX(monster!$H$2:$H$617,MATCH(skill!C805,monster!$A$2:$A$617,0))</f>
        <v>34.06</v>
      </c>
      <c r="F805" s="15">
        <f>INDEX(monster!$I$2:$I$617,MATCH(C805,monster!$A$2:$A$617,0))</f>
        <v>1.02</v>
      </c>
      <c r="G805" s="15" t="b">
        <f t="shared" si="46"/>
        <v>0</v>
      </c>
      <c r="H805" s="31">
        <v>0</v>
      </c>
      <c r="I805" s="15">
        <f>IF(H805&gt;0,HLOOKUP(R805/100,数值规划表!$B$37:$AA$39,3),1)</f>
        <v>1</v>
      </c>
      <c r="J805" s="31" t="s">
        <v>1672</v>
      </c>
      <c r="K805" s="15">
        <f>INDEX(数值规划表!$B$15:$B$18,MATCH(J805,攻击范围,0))</f>
        <v>0</v>
      </c>
      <c r="L805" s="30">
        <v>1</v>
      </c>
      <c r="M805" s="41">
        <v>0</v>
      </c>
      <c r="N805" s="15">
        <f t="shared" si="44"/>
        <v>0</v>
      </c>
      <c r="O805" s="15">
        <f t="shared" si="45"/>
        <v>0</v>
      </c>
      <c r="P805" s="15">
        <f>IF(G805,INDEX(monster!$J$2:$J$606,MATCH(skill!C805,monster!$A$2:$A$606,0)),Q805)</f>
        <v>0</v>
      </c>
      <c r="R805" s="30">
        <v>1500</v>
      </c>
    </row>
    <row r="806" spans="1:18" s="38" customFormat="1" x14ac:dyDescent="0.15">
      <c r="A806" s="32">
        <v>10850</v>
      </c>
      <c r="B806" s="32" t="s">
        <v>1547</v>
      </c>
      <c r="C806" s="31">
        <v>1374</v>
      </c>
      <c r="D806" s="32">
        <v>1</v>
      </c>
      <c r="E806" s="15">
        <f>INDEX(monster!$H$2:$H$617,MATCH(skill!C806,monster!$A$2:$A$617,0))</f>
        <v>38.15</v>
      </c>
      <c r="F806" s="15">
        <f>INDEX(monster!$I$2:$I$617,MATCH(C806,monster!$A$2:$A$617,0))</f>
        <v>1.1399999999999999</v>
      </c>
      <c r="G806" s="15" t="b">
        <f t="shared" si="46"/>
        <v>0</v>
      </c>
      <c r="H806" s="31">
        <v>0</v>
      </c>
      <c r="I806" s="15">
        <f>IF(H806&gt;0,HLOOKUP(R806/100,数值规划表!$B$37:$AA$39,3),1)</f>
        <v>1</v>
      </c>
      <c r="J806" s="31" t="s">
        <v>1672</v>
      </c>
      <c r="K806" s="15">
        <f>INDEX(数值规划表!$B$15:$B$18,MATCH(J806,攻击范围,0))</f>
        <v>0</v>
      </c>
      <c r="L806" s="30">
        <v>1</v>
      </c>
      <c r="M806" s="41">
        <v>0</v>
      </c>
      <c r="N806" s="15">
        <f t="shared" si="44"/>
        <v>0</v>
      </c>
      <c r="O806" s="15">
        <f t="shared" si="45"/>
        <v>0</v>
      </c>
      <c r="P806" s="15">
        <f>IF(G806,INDEX(monster!$J$2:$J$606,MATCH(skill!C806,monster!$A$2:$A$606,0)),Q806)</f>
        <v>0</v>
      </c>
      <c r="Q806" s="70"/>
      <c r="R806" s="33">
        <v>1500</v>
      </c>
    </row>
    <row r="807" spans="1:18" s="38" customFormat="1" x14ac:dyDescent="0.15">
      <c r="A807" s="32">
        <v>10851</v>
      </c>
      <c r="B807" s="32" t="s">
        <v>1548</v>
      </c>
      <c r="C807" s="31">
        <v>1375</v>
      </c>
      <c r="D807" s="32">
        <v>2</v>
      </c>
      <c r="E807" s="15">
        <f>INDEX(monster!$H$2:$H$617,MATCH(skill!C807,monster!$A$2:$A$617,0))</f>
        <v>42.72</v>
      </c>
      <c r="F807" s="15">
        <f>INDEX(monster!$I$2:$I$617,MATCH(C807,monster!$A$2:$A$617,0))</f>
        <v>1.28</v>
      </c>
      <c r="G807" s="15" t="b">
        <f t="shared" si="46"/>
        <v>0</v>
      </c>
      <c r="H807" s="31">
        <v>0</v>
      </c>
      <c r="I807" s="15">
        <f>IF(H807&gt;0,HLOOKUP(R807/100,数值规划表!$B$37:$AA$39,3),1)</f>
        <v>1</v>
      </c>
      <c r="J807" s="31" t="s">
        <v>1672</v>
      </c>
      <c r="K807" s="15">
        <f>INDEX(数值规划表!$B$15:$B$18,MATCH(J807,攻击范围,0))</f>
        <v>0</v>
      </c>
      <c r="L807" s="30">
        <v>1</v>
      </c>
      <c r="M807" s="41">
        <v>0</v>
      </c>
      <c r="N807" s="15">
        <f t="shared" si="44"/>
        <v>0</v>
      </c>
      <c r="O807" s="15">
        <f t="shared" si="45"/>
        <v>0</v>
      </c>
      <c r="P807" s="15">
        <f>IF(G807,INDEX(monster!$J$2:$J$606,MATCH(skill!C807,monster!$A$2:$A$606,0)),Q807)</f>
        <v>0</v>
      </c>
      <c r="Q807" s="70"/>
      <c r="R807" s="33">
        <v>1500</v>
      </c>
    </row>
    <row r="808" spans="1:18" s="38" customFormat="1" x14ac:dyDescent="0.15">
      <c r="A808" s="32">
        <v>10852</v>
      </c>
      <c r="B808" s="32" t="s">
        <v>1549</v>
      </c>
      <c r="C808" s="31">
        <v>1376</v>
      </c>
      <c r="D808" s="32">
        <v>3</v>
      </c>
      <c r="E808" s="15">
        <f>INDEX(monster!$H$2:$H$617,MATCH(skill!C808,monster!$A$2:$A$617,0))</f>
        <v>47.85</v>
      </c>
      <c r="F808" s="15">
        <f>INDEX(monster!$I$2:$I$617,MATCH(C808,monster!$A$2:$A$617,0))</f>
        <v>1.44</v>
      </c>
      <c r="G808" s="15" t="b">
        <f t="shared" si="46"/>
        <v>0</v>
      </c>
      <c r="H808" s="31">
        <v>0</v>
      </c>
      <c r="I808" s="15">
        <f>IF(H808&gt;0,HLOOKUP(R808/100,数值规划表!$B$37:$AA$39,3),1)</f>
        <v>1</v>
      </c>
      <c r="J808" s="31" t="s">
        <v>1672</v>
      </c>
      <c r="K808" s="15">
        <f>INDEX(数值规划表!$B$15:$B$18,MATCH(J808,攻击范围,0))</f>
        <v>0</v>
      </c>
      <c r="L808" s="30">
        <v>1</v>
      </c>
      <c r="M808" s="41">
        <v>0</v>
      </c>
      <c r="N808" s="15">
        <f t="shared" si="44"/>
        <v>0</v>
      </c>
      <c r="O808" s="15">
        <f t="shared" si="45"/>
        <v>0</v>
      </c>
      <c r="P808" s="15">
        <f>IF(G808,INDEX(monster!$J$2:$J$606,MATCH(skill!C808,monster!$A$2:$A$606,0)),Q808)</f>
        <v>0</v>
      </c>
      <c r="Q808" s="70"/>
      <c r="R808" s="33">
        <v>1500</v>
      </c>
    </row>
    <row r="809" spans="1:18" s="38" customFormat="1" x14ac:dyDescent="0.15">
      <c r="A809" s="32">
        <v>10853</v>
      </c>
      <c r="B809" s="32" t="s">
        <v>1550</v>
      </c>
      <c r="C809" s="31">
        <v>1377</v>
      </c>
      <c r="D809" s="32">
        <v>4</v>
      </c>
      <c r="E809" s="15">
        <f>INDEX(monster!$H$2:$H$617,MATCH(skill!C809,monster!$A$2:$A$617,0))</f>
        <v>53.59</v>
      </c>
      <c r="F809" s="15">
        <f>INDEX(monster!$I$2:$I$617,MATCH(C809,monster!$A$2:$A$617,0))</f>
        <v>1.61</v>
      </c>
      <c r="G809" s="15" t="b">
        <f t="shared" si="46"/>
        <v>0</v>
      </c>
      <c r="H809" s="31">
        <v>0</v>
      </c>
      <c r="I809" s="15">
        <f>IF(H809&gt;0,HLOOKUP(R809/100,数值规划表!$B$37:$AA$39,3),1)</f>
        <v>1</v>
      </c>
      <c r="J809" s="31" t="s">
        <v>1672</v>
      </c>
      <c r="K809" s="15">
        <f>INDEX(数值规划表!$B$15:$B$18,MATCH(J809,攻击范围,0))</f>
        <v>0</v>
      </c>
      <c r="L809" s="30">
        <v>1</v>
      </c>
      <c r="M809" s="41">
        <v>0</v>
      </c>
      <c r="N809" s="15">
        <f t="shared" si="44"/>
        <v>0</v>
      </c>
      <c r="O809" s="15">
        <f t="shared" si="45"/>
        <v>0</v>
      </c>
      <c r="P809" s="15">
        <f>IF(G809,INDEX(monster!$J$2:$J$606,MATCH(skill!C809,monster!$A$2:$A$606,0)),Q809)</f>
        <v>0</v>
      </c>
      <c r="Q809" s="70"/>
      <c r="R809" s="33">
        <v>1500</v>
      </c>
    </row>
    <row r="810" spans="1:18" s="38" customFormat="1" x14ac:dyDescent="0.15">
      <c r="A810" s="32">
        <v>10854</v>
      </c>
      <c r="B810" s="32" t="s">
        <v>1551</v>
      </c>
      <c r="C810" s="31">
        <v>1378</v>
      </c>
      <c r="D810" s="32">
        <v>5</v>
      </c>
      <c r="E810" s="15">
        <f>INDEX(monster!$H$2:$H$617,MATCH(skill!C810,monster!$A$2:$A$617,0))</f>
        <v>60.03</v>
      </c>
      <c r="F810" s="15">
        <f>INDEX(monster!$I$2:$I$617,MATCH(C810,monster!$A$2:$A$617,0))</f>
        <v>1.8</v>
      </c>
      <c r="G810" s="15" t="b">
        <f t="shared" si="46"/>
        <v>0</v>
      </c>
      <c r="H810" s="31">
        <v>0</v>
      </c>
      <c r="I810" s="15">
        <f>IF(H810&gt;0,HLOOKUP(R810/100,数值规划表!$B$37:$AA$39,3),1)</f>
        <v>1</v>
      </c>
      <c r="J810" s="31" t="s">
        <v>1672</v>
      </c>
      <c r="K810" s="15">
        <f>INDEX(数值规划表!$B$15:$B$18,MATCH(J810,攻击范围,0))</f>
        <v>0</v>
      </c>
      <c r="L810" s="30">
        <v>1</v>
      </c>
      <c r="M810" s="41">
        <v>0</v>
      </c>
      <c r="N810" s="15">
        <f t="shared" si="44"/>
        <v>0</v>
      </c>
      <c r="O810" s="15">
        <f t="shared" si="45"/>
        <v>0</v>
      </c>
      <c r="P810" s="15">
        <f>IF(G810,INDEX(monster!$J$2:$J$606,MATCH(skill!C810,monster!$A$2:$A$606,0)),Q810)</f>
        <v>0</v>
      </c>
      <c r="Q810" s="70"/>
      <c r="R810" s="33">
        <v>1500</v>
      </c>
    </row>
    <row r="811" spans="1:18" s="38" customFormat="1" x14ac:dyDescent="0.15">
      <c r="A811" s="32">
        <v>10855</v>
      </c>
      <c r="B811" s="32" t="s">
        <v>1552</v>
      </c>
      <c r="C811" s="31">
        <v>1379</v>
      </c>
      <c r="D811" s="32">
        <v>6</v>
      </c>
      <c r="E811" s="15">
        <f>INDEX(monster!$H$2:$H$617,MATCH(skill!C811,monster!$A$2:$A$617,0))</f>
        <v>67.23</v>
      </c>
      <c r="F811" s="15">
        <f>INDEX(monster!$I$2:$I$617,MATCH(C811,monster!$A$2:$A$617,0))</f>
        <v>2.02</v>
      </c>
      <c r="G811" s="15" t="b">
        <f t="shared" si="46"/>
        <v>0</v>
      </c>
      <c r="H811" s="31">
        <v>0</v>
      </c>
      <c r="I811" s="15">
        <f>IF(H811&gt;0,HLOOKUP(R811/100,数值规划表!$B$37:$AA$39,3),1)</f>
        <v>1</v>
      </c>
      <c r="J811" s="31" t="s">
        <v>1672</v>
      </c>
      <c r="K811" s="15">
        <f>INDEX(数值规划表!$B$15:$B$18,MATCH(J811,攻击范围,0))</f>
        <v>0</v>
      </c>
      <c r="L811" s="30">
        <v>1</v>
      </c>
      <c r="M811" s="41">
        <v>0</v>
      </c>
      <c r="N811" s="15">
        <f t="shared" si="44"/>
        <v>0</v>
      </c>
      <c r="O811" s="15">
        <f t="shared" si="45"/>
        <v>0</v>
      </c>
      <c r="P811" s="15">
        <f>IF(G811,INDEX(monster!$J$2:$J$606,MATCH(skill!C811,monster!$A$2:$A$606,0)),Q811)</f>
        <v>0</v>
      </c>
      <c r="Q811" s="70"/>
      <c r="R811" s="33">
        <v>1500</v>
      </c>
    </row>
    <row r="812" spans="1:18" s="38" customFormat="1" x14ac:dyDescent="0.15">
      <c r="A812" s="32">
        <v>10856</v>
      </c>
      <c r="B812" s="32" t="s">
        <v>1553</v>
      </c>
      <c r="C812" s="31">
        <v>1380</v>
      </c>
      <c r="D812" s="32">
        <v>7</v>
      </c>
      <c r="E812" s="15">
        <f>INDEX(monster!$H$2:$H$617,MATCH(skill!C812,monster!$A$2:$A$617,0))</f>
        <v>75.3</v>
      </c>
      <c r="F812" s="15">
        <f>INDEX(monster!$I$2:$I$617,MATCH(C812,monster!$A$2:$A$617,0))</f>
        <v>2.2599999999999998</v>
      </c>
      <c r="G812" s="15" t="b">
        <f t="shared" si="46"/>
        <v>0</v>
      </c>
      <c r="H812" s="31">
        <v>0</v>
      </c>
      <c r="I812" s="15">
        <f>IF(H812&gt;0,HLOOKUP(R812/100,数值规划表!$B$37:$AA$39,3),1)</f>
        <v>1</v>
      </c>
      <c r="J812" s="31" t="s">
        <v>1672</v>
      </c>
      <c r="K812" s="15">
        <f>INDEX(数值规划表!$B$15:$B$18,MATCH(J812,攻击范围,0))</f>
        <v>0</v>
      </c>
      <c r="L812" s="30">
        <v>1</v>
      </c>
      <c r="M812" s="41">
        <v>0</v>
      </c>
      <c r="N812" s="15">
        <f t="shared" si="44"/>
        <v>0</v>
      </c>
      <c r="O812" s="15">
        <f t="shared" si="45"/>
        <v>0</v>
      </c>
      <c r="P812" s="15">
        <f>IF(G812,INDEX(monster!$J$2:$J$606,MATCH(skill!C812,monster!$A$2:$A$606,0)),Q812)</f>
        <v>0</v>
      </c>
      <c r="Q812" s="70"/>
      <c r="R812" s="33">
        <v>1500</v>
      </c>
    </row>
    <row r="813" spans="1:18" s="38" customFormat="1" x14ac:dyDescent="0.15">
      <c r="A813" s="32">
        <v>10857</v>
      </c>
      <c r="B813" s="32" t="s">
        <v>1554</v>
      </c>
      <c r="C813" s="31">
        <v>1381</v>
      </c>
      <c r="D813" s="32">
        <v>8</v>
      </c>
      <c r="E813" s="15">
        <f>INDEX(monster!$H$2:$H$617,MATCH(skill!C813,monster!$A$2:$A$617,0))</f>
        <v>84.33</v>
      </c>
      <c r="F813" s="15">
        <f>INDEX(monster!$I$2:$I$617,MATCH(C813,monster!$A$2:$A$617,0))</f>
        <v>2.5299999999999998</v>
      </c>
      <c r="G813" s="15" t="b">
        <f t="shared" si="46"/>
        <v>0</v>
      </c>
      <c r="H813" s="31">
        <v>0</v>
      </c>
      <c r="I813" s="15">
        <f>IF(H813&gt;0,HLOOKUP(R813/100,数值规划表!$B$37:$AA$39,3),1)</f>
        <v>1</v>
      </c>
      <c r="J813" s="31" t="s">
        <v>1672</v>
      </c>
      <c r="K813" s="15">
        <f>INDEX(数值规划表!$B$15:$B$18,MATCH(J813,攻击范围,0))</f>
        <v>0</v>
      </c>
      <c r="L813" s="30">
        <v>1</v>
      </c>
      <c r="M813" s="41">
        <v>0</v>
      </c>
      <c r="N813" s="15">
        <f t="shared" si="44"/>
        <v>0</v>
      </c>
      <c r="O813" s="15">
        <f t="shared" si="45"/>
        <v>0</v>
      </c>
      <c r="P813" s="15">
        <f>IF(G813,INDEX(monster!$J$2:$J$606,MATCH(skill!C813,monster!$A$2:$A$606,0)),Q813)</f>
        <v>0</v>
      </c>
      <c r="Q813" s="70"/>
      <c r="R813" s="33">
        <v>1500</v>
      </c>
    </row>
    <row r="814" spans="1:18" s="38" customFormat="1" x14ac:dyDescent="0.15">
      <c r="A814" s="32">
        <v>10858</v>
      </c>
      <c r="B814" s="32" t="s">
        <v>1555</v>
      </c>
      <c r="C814" s="31">
        <v>1382</v>
      </c>
      <c r="D814" s="32">
        <v>9</v>
      </c>
      <c r="E814" s="15">
        <f>INDEX(monster!$H$2:$H$617,MATCH(skill!C814,monster!$A$2:$A$617,0))</f>
        <v>94.45</v>
      </c>
      <c r="F814" s="15">
        <f>INDEX(monster!$I$2:$I$617,MATCH(C814,monster!$A$2:$A$617,0))</f>
        <v>2.83</v>
      </c>
      <c r="G814" s="15" t="b">
        <f t="shared" si="46"/>
        <v>0</v>
      </c>
      <c r="H814" s="31">
        <v>0</v>
      </c>
      <c r="I814" s="15">
        <f>IF(H814&gt;0,HLOOKUP(R814/100,数值规划表!$B$37:$AA$39,3),1)</f>
        <v>1</v>
      </c>
      <c r="J814" s="31" t="s">
        <v>1672</v>
      </c>
      <c r="K814" s="15">
        <f>INDEX(数值规划表!$B$15:$B$18,MATCH(J814,攻击范围,0))</f>
        <v>0</v>
      </c>
      <c r="L814" s="30">
        <v>1</v>
      </c>
      <c r="M814" s="41">
        <v>0</v>
      </c>
      <c r="N814" s="15">
        <f t="shared" si="44"/>
        <v>0</v>
      </c>
      <c r="O814" s="15">
        <f t="shared" si="45"/>
        <v>0</v>
      </c>
      <c r="P814" s="15">
        <f>IF(G814,INDEX(monster!$J$2:$J$606,MATCH(skill!C814,monster!$A$2:$A$606,0)),Q814)</f>
        <v>0</v>
      </c>
      <c r="Q814" s="70"/>
      <c r="R814" s="33">
        <v>1500</v>
      </c>
    </row>
    <row r="815" spans="1:18" s="38" customFormat="1" x14ac:dyDescent="0.15">
      <c r="A815" s="32">
        <v>10859</v>
      </c>
      <c r="B815" s="32" t="s">
        <v>1556</v>
      </c>
      <c r="C815" s="31">
        <v>1383</v>
      </c>
      <c r="D815" s="32">
        <v>10</v>
      </c>
      <c r="E815" s="15">
        <f>INDEX(monster!$H$2:$H$617,MATCH(skill!C815,monster!$A$2:$A$617,0))</f>
        <v>105.79</v>
      </c>
      <c r="F815" s="15">
        <f>INDEX(monster!$I$2:$I$617,MATCH(C815,monster!$A$2:$A$617,0))</f>
        <v>3.17</v>
      </c>
      <c r="G815" s="15" t="b">
        <f t="shared" si="46"/>
        <v>0</v>
      </c>
      <c r="H815" s="31">
        <v>0</v>
      </c>
      <c r="I815" s="15">
        <f>IF(H815&gt;0,HLOOKUP(R815/100,数值规划表!$B$37:$AA$39,3),1)</f>
        <v>1</v>
      </c>
      <c r="J815" s="31" t="s">
        <v>1672</v>
      </c>
      <c r="K815" s="15">
        <f>INDEX(数值规划表!$B$15:$B$18,MATCH(J815,攻击范围,0))</f>
        <v>0</v>
      </c>
      <c r="L815" s="30">
        <v>1</v>
      </c>
      <c r="M815" s="41">
        <v>0</v>
      </c>
      <c r="N815" s="15">
        <f t="shared" si="44"/>
        <v>0</v>
      </c>
      <c r="O815" s="15">
        <f t="shared" si="45"/>
        <v>0</v>
      </c>
      <c r="P815" s="15">
        <f>IF(G815,INDEX(monster!$J$2:$J$606,MATCH(skill!C815,monster!$A$2:$A$606,0)),Q815)</f>
        <v>0</v>
      </c>
      <c r="Q815" s="70"/>
      <c r="R815" s="33">
        <v>1500</v>
      </c>
    </row>
    <row r="816" spans="1:18" x14ac:dyDescent="0.15">
      <c r="A816" s="32">
        <v>10860</v>
      </c>
      <c r="B816" s="32" t="s">
        <v>1557</v>
      </c>
      <c r="C816" s="31">
        <v>1294</v>
      </c>
      <c r="D816" s="32">
        <v>0</v>
      </c>
      <c r="E816" s="15">
        <f>INDEX(monster!$H$2:$H$617,MATCH(skill!C816,monster!$A$2:$A$617,0))</f>
        <v>64.22</v>
      </c>
      <c r="F816" s="15">
        <f>INDEX(monster!$I$2:$I$617,MATCH(C816,monster!$A$2:$A$617,0))</f>
        <v>1.93</v>
      </c>
      <c r="G816" s="15" t="b">
        <f t="shared" si="46"/>
        <v>0</v>
      </c>
      <c r="H816" s="31">
        <v>0</v>
      </c>
      <c r="I816" s="15">
        <f>IF(H816&gt;0,HLOOKUP(R816/100,数值规划表!$B$37:$AA$39,3),1)</f>
        <v>1</v>
      </c>
      <c r="J816" s="31" t="s">
        <v>1672</v>
      </c>
      <c r="K816" s="15">
        <f>INDEX(数值规划表!$B$15:$B$18,MATCH(J816,攻击范围,0))</f>
        <v>0</v>
      </c>
      <c r="L816" s="30">
        <v>1</v>
      </c>
      <c r="M816" s="41">
        <v>0</v>
      </c>
      <c r="N816" s="15">
        <f t="shared" si="44"/>
        <v>0</v>
      </c>
      <c r="O816" s="15">
        <f t="shared" si="45"/>
        <v>0</v>
      </c>
      <c r="P816" s="15">
        <f>IF(G816,INDEX(monster!$J$2:$J$606,MATCH(skill!C816,monster!$A$2:$A$606,0)),Q816)</f>
        <v>0</v>
      </c>
      <c r="R816" s="33">
        <v>0</v>
      </c>
    </row>
    <row r="817" spans="1:18" x14ac:dyDescent="0.15">
      <c r="A817" s="32">
        <v>10861</v>
      </c>
      <c r="B817" s="32" t="s">
        <v>1558</v>
      </c>
      <c r="C817" s="31">
        <v>1295</v>
      </c>
      <c r="D817" s="32">
        <v>1</v>
      </c>
      <c r="E817" s="15">
        <f>INDEX(monster!$H$2:$H$617,MATCH(skill!C817,monster!$A$2:$A$617,0))</f>
        <v>71.930000000000007</v>
      </c>
      <c r="F817" s="15">
        <f>INDEX(monster!$I$2:$I$617,MATCH(C817,monster!$A$2:$A$617,0))</f>
        <v>2.16</v>
      </c>
      <c r="G817" s="15" t="b">
        <f t="shared" si="46"/>
        <v>0</v>
      </c>
      <c r="H817" s="31">
        <v>0</v>
      </c>
      <c r="I817" s="15">
        <f>IF(H817&gt;0,HLOOKUP(R817/100,数值规划表!$B$37:$AA$39,3),1)</f>
        <v>1</v>
      </c>
      <c r="J817" s="31" t="s">
        <v>1672</v>
      </c>
      <c r="K817" s="15">
        <f>INDEX(数值规划表!$B$15:$B$18,MATCH(J817,攻击范围,0))</f>
        <v>0</v>
      </c>
      <c r="L817" s="30">
        <v>1</v>
      </c>
      <c r="M817" s="41">
        <v>0</v>
      </c>
      <c r="N817" s="15">
        <f t="shared" si="44"/>
        <v>0</v>
      </c>
      <c r="O817" s="15">
        <f t="shared" si="45"/>
        <v>0</v>
      </c>
      <c r="P817" s="15">
        <f>IF(G817,INDEX(monster!$J$2:$J$606,MATCH(skill!C817,monster!$A$2:$A$606,0)),Q817)</f>
        <v>0</v>
      </c>
      <c r="R817" s="33">
        <v>0</v>
      </c>
    </row>
    <row r="818" spans="1:18" x14ac:dyDescent="0.15">
      <c r="A818" s="32">
        <v>10862</v>
      </c>
      <c r="B818" s="32" t="s">
        <v>1139</v>
      </c>
      <c r="C818" s="31">
        <v>1296</v>
      </c>
      <c r="D818" s="32">
        <v>2</v>
      </c>
      <c r="E818" s="15">
        <f>INDEX(monster!$H$2:$H$617,MATCH(skill!C818,monster!$A$2:$A$617,0))</f>
        <v>80.56</v>
      </c>
      <c r="F818" s="15">
        <f>INDEX(monster!$I$2:$I$617,MATCH(C818,monster!$A$2:$A$617,0))</f>
        <v>2.42</v>
      </c>
      <c r="G818" s="15" t="b">
        <f t="shared" si="46"/>
        <v>0</v>
      </c>
      <c r="H818" s="31">
        <v>0</v>
      </c>
      <c r="I818" s="15">
        <f>IF(H818&gt;0,HLOOKUP(R818/100,数值规划表!$B$37:$AA$39,3),1)</f>
        <v>1</v>
      </c>
      <c r="J818" s="31" t="s">
        <v>1672</v>
      </c>
      <c r="K818" s="15">
        <f>INDEX(数值规划表!$B$15:$B$18,MATCH(J818,攻击范围,0))</f>
        <v>0</v>
      </c>
      <c r="L818" s="30">
        <v>1</v>
      </c>
      <c r="M818" s="41">
        <v>0</v>
      </c>
      <c r="N818" s="15">
        <f t="shared" si="44"/>
        <v>0</v>
      </c>
      <c r="O818" s="15">
        <f t="shared" si="45"/>
        <v>0</v>
      </c>
      <c r="P818" s="15">
        <f>IF(G818,INDEX(monster!$J$2:$J$606,MATCH(skill!C818,monster!$A$2:$A$606,0)),Q818)</f>
        <v>0</v>
      </c>
      <c r="R818" s="33">
        <v>0</v>
      </c>
    </row>
    <row r="819" spans="1:18" x14ac:dyDescent="0.15">
      <c r="A819" s="32">
        <v>10863</v>
      </c>
      <c r="B819" s="32" t="s">
        <v>1140</v>
      </c>
      <c r="C819" s="31">
        <v>1297</v>
      </c>
      <c r="D819" s="32">
        <v>3</v>
      </c>
      <c r="E819" s="15">
        <f>INDEX(monster!$H$2:$H$617,MATCH(skill!C819,monster!$A$2:$A$617,0))</f>
        <v>90.22</v>
      </c>
      <c r="F819" s="15">
        <f>INDEX(monster!$I$2:$I$617,MATCH(C819,monster!$A$2:$A$617,0))</f>
        <v>2.71</v>
      </c>
      <c r="G819" s="15" t="b">
        <f t="shared" si="46"/>
        <v>0</v>
      </c>
      <c r="H819" s="31">
        <v>0</v>
      </c>
      <c r="I819" s="15">
        <f>IF(H819&gt;0,HLOOKUP(R819/100,数值规划表!$B$37:$AA$39,3),1)</f>
        <v>1</v>
      </c>
      <c r="J819" s="31" t="s">
        <v>1672</v>
      </c>
      <c r="K819" s="15">
        <f>INDEX(数值规划表!$B$15:$B$18,MATCH(J819,攻击范围,0))</f>
        <v>0</v>
      </c>
      <c r="L819" s="30">
        <v>1</v>
      </c>
      <c r="M819" s="41">
        <v>0</v>
      </c>
      <c r="N819" s="15">
        <f t="shared" si="44"/>
        <v>0</v>
      </c>
      <c r="O819" s="15">
        <f t="shared" si="45"/>
        <v>0</v>
      </c>
      <c r="P819" s="15">
        <f>IF(G819,INDEX(monster!$J$2:$J$606,MATCH(skill!C819,monster!$A$2:$A$606,0)),Q819)</f>
        <v>0</v>
      </c>
      <c r="R819" s="33">
        <v>0</v>
      </c>
    </row>
    <row r="820" spans="1:18" x14ac:dyDescent="0.15">
      <c r="A820" s="32">
        <v>10864</v>
      </c>
      <c r="B820" s="32" t="s">
        <v>1141</v>
      </c>
      <c r="C820" s="31">
        <v>1298</v>
      </c>
      <c r="D820" s="32">
        <v>4</v>
      </c>
      <c r="E820" s="15">
        <f>INDEX(monster!$H$2:$H$617,MATCH(skill!C820,monster!$A$2:$A$617,0))</f>
        <v>101.05</v>
      </c>
      <c r="F820" s="15">
        <f>INDEX(monster!$I$2:$I$617,MATCH(C820,monster!$A$2:$A$617,0))</f>
        <v>3.03</v>
      </c>
      <c r="G820" s="15" t="b">
        <f t="shared" si="46"/>
        <v>0</v>
      </c>
      <c r="H820" s="31">
        <v>0</v>
      </c>
      <c r="I820" s="15">
        <f>IF(H820&gt;0,HLOOKUP(R820/100,数值规划表!$B$37:$AA$39,3),1)</f>
        <v>1</v>
      </c>
      <c r="J820" s="31" t="s">
        <v>1672</v>
      </c>
      <c r="K820" s="15">
        <f>INDEX(数值规划表!$B$15:$B$18,MATCH(J820,攻击范围,0))</f>
        <v>0</v>
      </c>
      <c r="L820" s="30">
        <v>1</v>
      </c>
      <c r="M820" s="41">
        <v>0</v>
      </c>
      <c r="N820" s="15">
        <f t="shared" si="44"/>
        <v>0</v>
      </c>
      <c r="O820" s="15">
        <f t="shared" si="45"/>
        <v>0</v>
      </c>
      <c r="P820" s="15">
        <f>IF(G820,INDEX(monster!$J$2:$J$606,MATCH(skill!C820,monster!$A$2:$A$606,0)),Q820)</f>
        <v>0</v>
      </c>
      <c r="R820" s="33">
        <v>0</v>
      </c>
    </row>
    <row r="821" spans="1:18" x14ac:dyDescent="0.15">
      <c r="A821" s="32">
        <v>10865</v>
      </c>
      <c r="B821" s="32" t="s">
        <v>1142</v>
      </c>
      <c r="C821" s="31">
        <v>1299</v>
      </c>
      <c r="D821" s="32">
        <v>5</v>
      </c>
      <c r="E821" s="15">
        <f>INDEX(monster!$H$2:$H$617,MATCH(skill!C821,monster!$A$2:$A$617,0))</f>
        <v>113.18</v>
      </c>
      <c r="F821" s="15">
        <f>INDEX(monster!$I$2:$I$617,MATCH(C821,monster!$A$2:$A$617,0))</f>
        <v>3.4</v>
      </c>
      <c r="G821" s="15" t="b">
        <f t="shared" si="46"/>
        <v>0</v>
      </c>
      <c r="H821" s="31">
        <v>0</v>
      </c>
      <c r="I821" s="15">
        <f>IF(H821&gt;0,HLOOKUP(R821/100,数值规划表!$B$37:$AA$39,3),1)</f>
        <v>1</v>
      </c>
      <c r="J821" s="31" t="s">
        <v>1672</v>
      </c>
      <c r="K821" s="15">
        <f>INDEX(数值规划表!$B$15:$B$18,MATCH(J821,攻击范围,0))</f>
        <v>0</v>
      </c>
      <c r="L821" s="30">
        <v>1</v>
      </c>
      <c r="M821" s="41">
        <v>0</v>
      </c>
      <c r="N821" s="15">
        <f t="shared" si="44"/>
        <v>0</v>
      </c>
      <c r="O821" s="15">
        <f t="shared" si="45"/>
        <v>0</v>
      </c>
      <c r="P821" s="15">
        <f>IF(G821,INDEX(monster!$J$2:$J$606,MATCH(skill!C821,monster!$A$2:$A$606,0)),Q821)</f>
        <v>0</v>
      </c>
      <c r="R821" s="33">
        <v>0</v>
      </c>
    </row>
    <row r="822" spans="1:18" x14ac:dyDescent="0.15">
      <c r="A822" s="32">
        <v>10866</v>
      </c>
      <c r="B822" s="32" t="s">
        <v>1143</v>
      </c>
      <c r="C822" s="31">
        <v>1300</v>
      </c>
      <c r="D822" s="32">
        <v>6</v>
      </c>
      <c r="E822" s="15">
        <f>INDEX(monster!$H$2:$H$617,MATCH(skill!C822,monster!$A$2:$A$617,0))</f>
        <v>126.76</v>
      </c>
      <c r="F822" s="15">
        <f>INDEX(monster!$I$2:$I$617,MATCH(C822,monster!$A$2:$A$617,0))</f>
        <v>3.8</v>
      </c>
      <c r="G822" s="15" t="b">
        <f t="shared" si="46"/>
        <v>0</v>
      </c>
      <c r="H822" s="31">
        <v>0</v>
      </c>
      <c r="I822" s="15">
        <f>IF(H822&gt;0,HLOOKUP(R822/100,数值规划表!$B$37:$AA$39,3),1)</f>
        <v>1</v>
      </c>
      <c r="J822" s="31" t="s">
        <v>1672</v>
      </c>
      <c r="K822" s="15">
        <f>INDEX(数值规划表!$B$15:$B$18,MATCH(J822,攻击范围,0))</f>
        <v>0</v>
      </c>
      <c r="L822" s="30">
        <v>1</v>
      </c>
      <c r="M822" s="41">
        <v>0</v>
      </c>
      <c r="N822" s="15">
        <f t="shared" si="44"/>
        <v>0</v>
      </c>
      <c r="O822" s="15">
        <f t="shared" si="45"/>
        <v>0</v>
      </c>
      <c r="P822" s="15">
        <f>IF(G822,INDEX(monster!$J$2:$J$606,MATCH(skill!C822,monster!$A$2:$A$606,0)),Q822)</f>
        <v>0</v>
      </c>
      <c r="R822" s="33">
        <v>0</v>
      </c>
    </row>
    <row r="823" spans="1:18" x14ac:dyDescent="0.15">
      <c r="A823" s="32">
        <v>10867</v>
      </c>
      <c r="B823" s="32" t="s">
        <v>1144</v>
      </c>
      <c r="C823" s="31">
        <v>1301</v>
      </c>
      <c r="D823" s="32">
        <v>7</v>
      </c>
      <c r="E823" s="15">
        <f>INDEX(monster!$H$2:$H$617,MATCH(skill!C823,monster!$A$2:$A$617,0))</f>
        <v>141.97</v>
      </c>
      <c r="F823" s="15">
        <f>INDEX(monster!$I$2:$I$617,MATCH(C823,monster!$A$2:$A$617,0))</f>
        <v>4.26</v>
      </c>
      <c r="G823" s="15" t="b">
        <f t="shared" si="46"/>
        <v>0</v>
      </c>
      <c r="H823" s="31">
        <v>0</v>
      </c>
      <c r="I823" s="15">
        <f>IF(H823&gt;0,HLOOKUP(R823/100,数值规划表!$B$37:$AA$39,3),1)</f>
        <v>1</v>
      </c>
      <c r="J823" s="31" t="s">
        <v>1672</v>
      </c>
      <c r="K823" s="15">
        <f>INDEX(数值规划表!$B$15:$B$18,MATCH(J823,攻击范围,0))</f>
        <v>0</v>
      </c>
      <c r="L823" s="30">
        <v>1</v>
      </c>
      <c r="M823" s="41">
        <v>0</v>
      </c>
      <c r="N823" s="15">
        <f t="shared" ref="N823:N886" si="47">ROUND(E823*I823*K823*L823,0)</f>
        <v>0</v>
      </c>
      <c r="O823" s="15">
        <f t="shared" ref="O823:O886" si="48">ROUND(F823*I823*K823*L823,2)</f>
        <v>0</v>
      </c>
      <c r="P823" s="15">
        <f>IF(G823,INDEX(monster!$J$2:$J$606,MATCH(skill!C823,monster!$A$2:$A$606,0)),Q823)</f>
        <v>0</v>
      </c>
      <c r="R823" s="33">
        <v>0</v>
      </c>
    </row>
    <row r="824" spans="1:18" x14ac:dyDescent="0.15">
      <c r="A824" s="32">
        <v>10868</v>
      </c>
      <c r="B824" s="32" t="s">
        <v>1145</v>
      </c>
      <c r="C824" s="31">
        <v>1302</v>
      </c>
      <c r="D824" s="32">
        <v>8</v>
      </c>
      <c r="E824" s="15">
        <f>INDEX(monster!$H$2:$H$617,MATCH(skill!C824,monster!$A$2:$A$617,0))</f>
        <v>159.01</v>
      </c>
      <c r="F824" s="15">
        <f>INDEX(monster!$I$2:$I$617,MATCH(C824,monster!$A$2:$A$617,0))</f>
        <v>4.7699999999999996</v>
      </c>
      <c r="G824" s="15" t="b">
        <f t="shared" si="46"/>
        <v>0</v>
      </c>
      <c r="H824" s="31">
        <v>0</v>
      </c>
      <c r="I824" s="15">
        <f>IF(H824&gt;0,HLOOKUP(R824/100,数值规划表!$B$37:$AA$39,3),1)</f>
        <v>1</v>
      </c>
      <c r="J824" s="31" t="s">
        <v>1672</v>
      </c>
      <c r="K824" s="15">
        <f>INDEX(数值规划表!$B$15:$B$18,MATCH(J824,攻击范围,0))</f>
        <v>0</v>
      </c>
      <c r="L824" s="30">
        <v>1</v>
      </c>
      <c r="M824" s="41">
        <v>0</v>
      </c>
      <c r="N824" s="15">
        <f t="shared" si="47"/>
        <v>0</v>
      </c>
      <c r="O824" s="15">
        <f t="shared" si="48"/>
        <v>0</v>
      </c>
      <c r="P824" s="15">
        <f>IF(G824,INDEX(monster!$J$2:$J$606,MATCH(skill!C824,monster!$A$2:$A$606,0)),Q824)</f>
        <v>0</v>
      </c>
      <c r="R824" s="33">
        <v>0</v>
      </c>
    </row>
    <row r="825" spans="1:18" x14ac:dyDescent="0.15">
      <c r="A825" s="32">
        <v>10869</v>
      </c>
      <c r="B825" s="32" t="s">
        <v>1146</v>
      </c>
      <c r="C825" s="31">
        <v>1303</v>
      </c>
      <c r="D825" s="32">
        <v>9</v>
      </c>
      <c r="E825" s="15">
        <f>INDEX(monster!$H$2:$H$617,MATCH(skill!C825,monster!$A$2:$A$617,0))</f>
        <v>178.09</v>
      </c>
      <c r="F825" s="15">
        <f>INDEX(monster!$I$2:$I$617,MATCH(C825,monster!$A$2:$A$617,0))</f>
        <v>5.34</v>
      </c>
      <c r="G825" s="15" t="b">
        <f t="shared" si="46"/>
        <v>0</v>
      </c>
      <c r="H825" s="31">
        <v>0</v>
      </c>
      <c r="I825" s="15">
        <f>IF(H825&gt;0,HLOOKUP(R825/100,数值规划表!$B$37:$AA$39,3),1)</f>
        <v>1</v>
      </c>
      <c r="J825" s="31" t="s">
        <v>1672</v>
      </c>
      <c r="K825" s="15">
        <f>INDEX(数值规划表!$B$15:$B$18,MATCH(J825,攻击范围,0))</f>
        <v>0</v>
      </c>
      <c r="L825" s="30">
        <v>1</v>
      </c>
      <c r="M825" s="41">
        <v>0</v>
      </c>
      <c r="N825" s="15">
        <f t="shared" si="47"/>
        <v>0</v>
      </c>
      <c r="O825" s="15">
        <f t="shared" si="48"/>
        <v>0</v>
      </c>
      <c r="P825" s="15">
        <f>IF(G825,INDEX(monster!$J$2:$J$606,MATCH(skill!C825,monster!$A$2:$A$606,0)),Q825)</f>
        <v>0</v>
      </c>
      <c r="R825" s="33">
        <v>0</v>
      </c>
    </row>
    <row r="826" spans="1:18" x14ac:dyDescent="0.15">
      <c r="A826" s="32">
        <v>10870</v>
      </c>
      <c r="B826" s="32" t="s">
        <v>1147</v>
      </c>
      <c r="C826" s="31">
        <v>1304</v>
      </c>
      <c r="D826" s="32">
        <v>10</v>
      </c>
      <c r="E826" s="15">
        <f>INDEX(monster!$H$2:$H$617,MATCH(skill!C826,monster!$A$2:$A$617,0))</f>
        <v>199.46</v>
      </c>
      <c r="F826" s="15">
        <f>INDEX(monster!$I$2:$I$617,MATCH(C826,monster!$A$2:$A$617,0))</f>
        <v>5.98</v>
      </c>
      <c r="G826" s="15" t="b">
        <f t="shared" si="46"/>
        <v>0</v>
      </c>
      <c r="H826" s="31">
        <v>0</v>
      </c>
      <c r="I826" s="15">
        <f>IF(H826&gt;0,HLOOKUP(R826/100,数值规划表!$B$37:$AA$39,3),1)</f>
        <v>1</v>
      </c>
      <c r="J826" s="31" t="s">
        <v>1672</v>
      </c>
      <c r="K826" s="15">
        <f>INDEX(数值规划表!$B$15:$B$18,MATCH(J826,攻击范围,0))</f>
        <v>0</v>
      </c>
      <c r="L826" s="30">
        <v>1</v>
      </c>
      <c r="M826" s="41">
        <v>0</v>
      </c>
      <c r="N826" s="15">
        <f t="shared" si="47"/>
        <v>0</v>
      </c>
      <c r="O826" s="15">
        <f t="shared" si="48"/>
        <v>0</v>
      </c>
      <c r="P826" s="15">
        <f>IF(G826,INDEX(monster!$J$2:$J$606,MATCH(skill!C826,monster!$A$2:$A$606,0)),Q826)</f>
        <v>0</v>
      </c>
      <c r="R826" s="33">
        <v>0</v>
      </c>
    </row>
    <row r="827" spans="1:18" s="38" customFormat="1" x14ac:dyDescent="0.15">
      <c r="A827" s="32">
        <v>10871</v>
      </c>
      <c r="B827" s="32" t="s">
        <v>1559</v>
      </c>
      <c r="C827" s="31">
        <v>1461</v>
      </c>
      <c r="D827" s="32">
        <v>0</v>
      </c>
      <c r="E827" s="15">
        <f>INDEX(monster!$H$2:$H$617,MATCH(skill!C827,monster!$A$2:$A$617,0))</f>
        <v>78.400000000000006</v>
      </c>
      <c r="F827" s="15">
        <f>INDEX(monster!$I$2:$I$617,MATCH(C827,monster!$A$2:$A$617,0))</f>
        <v>2.35</v>
      </c>
      <c r="G827" s="15" t="b">
        <f t="shared" si="46"/>
        <v>1</v>
      </c>
      <c r="H827" s="31">
        <v>1</v>
      </c>
      <c r="I827" s="15">
        <f>IF(H827&gt;0,HLOOKUP(R827/100,数值规划表!$B$37:$AA$39,3),1)</f>
        <v>2.8</v>
      </c>
      <c r="J827" s="31" t="s">
        <v>1627</v>
      </c>
      <c r="K827" s="15">
        <f>INDEX(数值规划表!$B$15:$B$18,MATCH(J827,攻击范围,0))</f>
        <v>0.7</v>
      </c>
      <c r="L827" s="30">
        <v>1</v>
      </c>
      <c r="M827" s="41">
        <v>0</v>
      </c>
      <c r="N827" s="15">
        <f t="shared" si="47"/>
        <v>154</v>
      </c>
      <c r="O827" s="15">
        <f t="shared" si="48"/>
        <v>4.6100000000000003</v>
      </c>
      <c r="P827" s="15">
        <f>IF(G827,INDEX(monster!$J$2:$J$606,MATCH(skill!C827,monster!$A$2:$A$606,0)),Q827)</f>
        <v>1.2</v>
      </c>
      <c r="Q827" s="70"/>
      <c r="R827" s="33">
        <v>200</v>
      </c>
    </row>
    <row r="828" spans="1:18" s="38" customFormat="1" x14ac:dyDescent="0.15">
      <c r="A828" s="32">
        <v>10872</v>
      </c>
      <c r="B828" s="32" t="s">
        <v>1560</v>
      </c>
      <c r="C828" s="31">
        <v>1462</v>
      </c>
      <c r="D828" s="32">
        <v>1</v>
      </c>
      <c r="E828" s="15">
        <f>INDEX(monster!$H$2:$H$617,MATCH(skill!C828,monster!$A$2:$A$617,0))</f>
        <v>87.81</v>
      </c>
      <c r="F828" s="15">
        <f>INDEX(monster!$I$2:$I$617,MATCH(C828,monster!$A$2:$A$617,0))</f>
        <v>2.63</v>
      </c>
      <c r="G828" s="15" t="b">
        <f t="shared" si="46"/>
        <v>1</v>
      </c>
      <c r="H828" s="31">
        <v>1</v>
      </c>
      <c r="I828" s="15">
        <f>IF(H828&gt;0,HLOOKUP(R828/100,数值规划表!$B$37:$AA$39,3),1)</f>
        <v>2.8</v>
      </c>
      <c r="J828" s="31" t="s">
        <v>1627</v>
      </c>
      <c r="K828" s="15">
        <f>INDEX(数值规划表!$B$15:$B$18,MATCH(J828,攻击范围,0))</f>
        <v>0.7</v>
      </c>
      <c r="L828" s="30">
        <v>1</v>
      </c>
      <c r="M828" s="41">
        <v>0</v>
      </c>
      <c r="N828" s="15">
        <f t="shared" si="47"/>
        <v>172</v>
      </c>
      <c r="O828" s="15">
        <f t="shared" si="48"/>
        <v>5.15</v>
      </c>
      <c r="P828" s="15">
        <f>IF(G828,INDEX(monster!$J$2:$J$606,MATCH(skill!C828,monster!$A$2:$A$606,0)),Q828)</f>
        <v>1.2</v>
      </c>
      <c r="Q828" s="70"/>
      <c r="R828" s="33">
        <v>200</v>
      </c>
    </row>
    <row r="829" spans="1:18" s="38" customFormat="1" x14ac:dyDescent="0.15">
      <c r="A829" s="32">
        <v>10873</v>
      </c>
      <c r="B829" s="32" t="s">
        <v>1148</v>
      </c>
      <c r="C829" s="31">
        <v>1463</v>
      </c>
      <c r="D829" s="32">
        <v>2</v>
      </c>
      <c r="E829" s="15">
        <f>INDEX(monster!$H$2:$H$617,MATCH(skill!C829,monster!$A$2:$A$617,0))</f>
        <v>98.34</v>
      </c>
      <c r="F829" s="15">
        <f>INDEX(monster!$I$2:$I$617,MATCH(C829,monster!$A$2:$A$617,0))</f>
        <v>2.95</v>
      </c>
      <c r="G829" s="15" t="b">
        <f t="shared" si="46"/>
        <v>1</v>
      </c>
      <c r="H829" s="31">
        <v>1</v>
      </c>
      <c r="I829" s="15">
        <f>IF(H829&gt;0,HLOOKUP(R829/100,数值规划表!$B$37:$AA$39,3),1)</f>
        <v>2.8</v>
      </c>
      <c r="J829" s="31" t="s">
        <v>1627</v>
      </c>
      <c r="K829" s="15">
        <f>INDEX(数值规划表!$B$15:$B$18,MATCH(J829,攻击范围,0))</f>
        <v>0.7</v>
      </c>
      <c r="L829" s="30">
        <v>1</v>
      </c>
      <c r="M829" s="41">
        <v>0</v>
      </c>
      <c r="N829" s="15">
        <f t="shared" si="47"/>
        <v>193</v>
      </c>
      <c r="O829" s="15">
        <f t="shared" si="48"/>
        <v>5.78</v>
      </c>
      <c r="P829" s="15">
        <f>IF(G829,INDEX(monster!$J$2:$J$606,MATCH(skill!C829,monster!$A$2:$A$606,0)),Q829)</f>
        <v>1.2</v>
      </c>
      <c r="Q829" s="70"/>
      <c r="R829" s="33">
        <v>200</v>
      </c>
    </row>
    <row r="830" spans="1:18" s="38" customFormat="1" x14ac:dyDescent="0.15">
      <c r="A830" s="32">
        <v>10874</v>
      </c>
      <c r="B830" s="32" t="s">
        <v>1149</v>
      </c>
      <c r="C830" s="31">
        <v>1464</v>
      </c>
      <c r="D830" s="32">
        <v>3</v>
      </c>
      <c r="E830" s="15">
        <f>INDEX(monster!$H$2:$H$617,MATCH(skill!C830,monster!$A$2:$A$617,0))</f>
        <v>110.15</v>
      </c>
      <c r="F830" s="15">
        <f>INDEX(monster!$I$2:$I$617,MATCH(C830,monster!$A$2:$A$617,0))</f>
        <v>3.3</v>
      </c>
      <c r="G830" s="15" t="b">
        <f t="shared" si="46"/>
        <v>1</v>
      </c>
      <c r="H830" s="31">
        <v>1</v>
      </c>
      <c r="I830" s="15">
        <f>IF(H830&gt;0,HLOOKUP(R830/100,数值规划表!$B$37:$AA$39,3),1)</f>
        <v>2.8</v>
      </c>
      <c r="J830" s="31" t="s">
        <v>1627</v>
      </c>
      <c r="K830" s="15">
        <f>INDEX(数值规划表!$B$15:$B$18,MATCH(J830,攻击范围,0))</f>
        <v>0.7</v>
      </c>
      <c r="L830" s="30">
        <v>1</v>
      </c>
      <c r="M830" s="41">
        <v>0</v>
      </c>
      <c r="N830" s="15">
        <f t="shared" si="47"/>
        <v>216</v>
      </c>
      <c r="O830" s="15">
        <f t="shared" si="48"/>
        <v>6.47</v>
      </c>
      <c r="P830" s="15">
        <f>IF(G830,INDEX(monster!$J$2:$J$606,MATCH(skill!C830,monster!$A$2:$A$606,0)),Q830)</f>
        <v>1.2</v>
      </c>
      <c r="Q830" s="70"/>
      <c r="R830" s="33">
        <v>200</v>
      </c>
    </row>
    <row r="831" spans="1:18" s="38" customFormat="1" x14ac:dyDescent="0.15">
      <c r="A831" s="32">
        <v>10875</v>
      </c>
      <c r="B831" s="32" t="s">
        <v>1150</v>
      </c>
      <c r="C831" s="31">
        <v>1465</v>
      </c>
      <c r="D831" s="32">
        <v>4</v>
      </c>
      <c r="E831" s="15">
        <f>INDEX(monster!$H$2:$H$617,MATCH(skill!C831,monster!$A$2:$A$617,0))</f>
        <v>123.36</v>
      </c>
      <c r="F831" s="15">
        <f>INDEX(monster!$I$2:$I$617,MATCH(C831,monster!$A$2:$A$617,0))</f>
        <v>3.7</v>
      </c>
      <c r="G831" s="15" t="b">
        <f t="shared" si="46"/>
        <v>1</v>
      </c>
      <c r="H831" s="31">
        <v>1</v>
      </c>
      <c r="I831" s="15">
        <f>IF(H831&gt;0,HLOOKUP(R831/100,数值规划表!$B$37:$AA$39,3),1)</f>
        <v>2.8</v>
      </c>
      <c r="J831" s="31" t="s">
        <v>1627</v>
      </c>
      <c r="K831" s="15">
        <f>INDEX(数值规划表!$B$15:$B$18,MATCH(J831,攻击范围,0))</f>
        <v>0.7</v>
      </c>
      <c r="L831" s="30">
        <v>1</v>
      </c>
      <c r="M831" s="41">
        <v>0</v>
      </c>
      <c r="N831" s="15">
        <f t="shared" si="47"/>
        <v>242</v>
      </c>
      <c r="O831" s="15">
        <f t="shared" si="48"/>
        <v>7.25</v>
      </c>
      <c r="P831" s="15">
        <f>IF(G831,INDEX(monster!$J$2:$J$606,MATCH(skill!C831,monster!$A$2:$A$606,0)),Q831)</f>
        <v>1.2</v>
      </c>
      <c r="Q831" s="70"/>
      <c r="R831" s="33">
        <v>200</v>
      </c>
    </row>
    <row r="832" spans="1:18" s="38" customFormat="1" x14ac:dyDescent="0.15">
      <c r="A832" s="32">
        <v>10876</v>
      </c>
      <c r="B832" s="32" t="s">
        <v>1151</v>
      </c>
      <c r="C832" s="31">
        <v>1466</v>
      </c>
      <c r="D832" s="32">
        <v>5</v>
      </c>
      <c r="E832" s="15">
        <f>INDEX(monster!$H$2:$H$617,MATCH(skill!C832,monster!$A$2:$A$617,0))</f>
        <v>138.16999999999999</v>
      </c>
      <c r="F832" s="15">
        <f>INDEX(monster!$I$2:$I$617,MATCH(C832,monster!$A$2:$A$617,0))</f>
        <v>4.1500000000000004</v>
      </c>
      <c r="G832" s="15" t="b">
        <f t="shared" si="46"/>
        <v>1</v>
      </c>
      <c r="H832" s="31">
        <v>1</v>
      </c>
      <c r="I832" s="15">
        <f>IF(H832&gt;0,HLOOKUP(R832/100,数值规划表!$B$37:$AA$39,3),1)</f>
        <v>2.8</v>
      </c>
      <c r="J832" s="31" t="s">
        <v>1627</v>
      </c>
      <c r="K832" s="15">
        <f>INDEX(数值规划表!$B$15:$B$18,MATCH(J832,攻击范围,0))</f>
        <v>0.7</v>
      </c>
      <c r="L832" s="30">
        <v>1</v>
      </c>
      <c r="M832" s="41">
        <v>0</v>
      </c>
      <c r="N832" s="15">
        <f t="shared" si="47"/>
        <v>271</v>
      </c>
      <c r="O832" s="15">
        <f t="shared" si="48"/>
        <v>8.1300000000000008</v>
      </c>
      <c r="P832" s="15">
        <f>IF(G832,INDEX(monster!$J$2:$J$606,MATCH(skill!C832,monster!$A$2:$A$606,0)),Q832)</f>
        <v>1.2</v>
      </c>
      <c r="Q832" s="70"/>
      <c r="R832" s="33">
        <v>200</v>
      </c>
    </row>
    <row r="833" spans="1:18" s="38" customFormat="1" x14ac:dyDescent="0.15">
      <c r="A833" s="32">
        <v>10877</v>
      </c>
      <c r="B833" s="32" t="s">
        <v>1152</v>
      </c>
      <c r="C833" s="31">
        <v>1467</v>
      </c>
      <c r="D833" s="32">
        <v>6</v>
      </c>
      <c r="E833" s="15">
        <f>INDEX(monster!$H$2:$H$617,MATCH(skill!C833,monster!$A$2:$A$617,0))</f>
        <v>154.75</v>
      </c>
      <c r="F833" s="15">
        <f>INDEX(monster!$I$2:$I$617,MATCH(C833,monster!$A$2:$A$617,0))</f>
        <v>4.6399999999999997</v>
      </c>
      <c r="G833" s="15" t="b">
        <f t="shared" si="46"/>
        <v>1</v>
      </c>
      <c r="H833" s="31">
        <v>1</v>
      </c>
      <c r="I833" s="15">
        <f>IF(H833&gt;0,HLOOKUP(R833/100,数值规划表!$B$37:$AA$39,3),1)</f>
        <v>2.8</v>
      </c>
      <c r="J833" s="31" t="s">
        <v>1627</v>
      </c>
      <c r="K833" s="15">
        <f>INDEX(数值规划表!$B$15:$B$18,MATCH(J833,攻击范围,0))</f>
        <v>0.7</v>
      </c>
      <c r="L833" s="30">
        <v>1</v>
      </c>
      <c r="M833" s="41">
        <v>0</v>
      </c>
      <c r="N833" s="15">
        <f t="shared" si="47"/>
        <v>303</v>
      </c>
      <c r="O833" s="15">
        <f t="shared" si="48"/>
        <v>9.09</v>
      </c>
      <c r="P833" s="15">
        <f>IF(G833,INDEX(monster!$J$2:$J$606,MATCH(skill!C833,monster!$A$2:$A$606,0)),Q833)</f>
        <v>1.2</v>
      </c>
      <c r="Q833" s="70"/>
      <c r="R833" s="33">
        <v>200</v>
      </c>
    </row>
    <row r="834" spans="1:18" s="38" customFormat="1" x14ac:dyDescent="0.15">
      <c r="A834" s="32">
        <v>10878</v>
      </c>
      <c r="B834" s="32" t="s">
        <v>1153</v>
      </c>
      <c r="C834" s="31">
        <v>1468</v>
      </c>
      <c r="D834" s="32">
        <v>7</v>
      </c>
      <c r="E834" s="15">
        <f>INDEX(monster!$H$2:$H$617,MATCH(skill!C834,monster!$A$2:$A$617,0))</f>
        <v>173.32</v>
      </c>
      <c r="F834" s="15">
        <f>INDEX(monster!$I$2:$I$617,MATCH(C834,monster!$A$2:$A$617,0))</f>
        <v>5.2</v>
      </c>
      <c r="G834" s="15" t="b">
        <f t="shared" si="46"/>
        <v>1</v>
      </c>
      <c r="H834" s="31">
        <v>1</v>
      </c>
      <c r="I834" s="15">
        <f>IF(H834&gt;0,HLOOKUP(R834/100,数值规划表!$B$37:$AA$39,3),1)</f>
        <v>2.8</v>
      </c>
      <c r="J834" s="31" t="s">
        <v>1627</v>
      </c>
      <c r="K834" s="15">
        <f>INDEX(数值规划表!$B$15:$B$18,MATCH(J834,攻击范围,0))</f>
        <v>0.7</v>
      </c>
      <c r="L834" s="30">
        <v>1</v>
      </c>
      <c r="M834" s="41">
        <v>0</v>
      </c>
      <c r="N834" s="15">
        <f t="shared" si="47"/>
        <v>340</v>
      </c>
      <c r="O834" s="15">
        <f t="shared" si="48"/>
        <v>10.19</v>
      </c>
      <c r="P834" s="15">
        <f>IF(G834,INDEX(monster!$J$2:$J$606,MATCH(skill!C834,monster!$A$2:$A$606,0)),Q834)</f>
        <v>1.2</v>
      </c>
      <c r="Q834" s="70"/>
      <c r="R834" s="33">
        <v>200</v>
      </c>
    </row>
    <row r="835" spans="1:18" s="38" customFormat="1" x14ac:dyDescent="0.15">
      <c r="A835" s="32">
        <v>10879</v>
      </c>
      <c r="B835" s="32" t="s">
        <v>1154</v>
      </c>
      <c r="C835" s="31">
        <v>1469</v>
      </c>
      <c r="D835" s="32">
        <v>8</v>
      </c>
      <c r="E835" s="15">
        <f>INDEX(monster!$H$2:$H$617,MATCH(skill!C835,monster!$A$2:$A$617,0))</f>
        <v>194.12</v>
      </c>
      <c r="F835" s="15">
        <f>INDEX(monster!$I$2:$I$617,MATCH(C835,monster!$A$2:$A$617,0))</f>
        <v>5.82</v>
      </c>
      <c r="G835" s="15" t="b">
        <f t="shared" si="46"/>
        <v>1</v>
      </c>
      <c r="H835" s="31">
        <v>1</v>
      </c>
      <c r="I835" s="15">
        <f>IF(H835&gt;0,HLOOKUP(R835/100,数值规划表!$B$37:$AA$39,3),1)</f>
        <v>2.8</v>
      </c>
      <c r="J835" s="31" t="s">
        <v>1627</v>
      </c>
      <c r="K835" s="15">
        <f>INDEX(数值规划表!$B$15:$B$18,MATCH(J835,攻击范围,0))</f>
        <v>0.7</v>
      </c>
      <c r="L835" s="30">
        <v>1</v>
      </c>
      <c r="M835" s="41">
        <v>0</v>
      </c>
      <c r="N835" s="15">
        <f t="shared" si="47"/>
        <v>380</v>
      </c>
      <c r="O835" s="15">
        <f t="shared" si="48"/>
        <v>11.41</v>
      </c>
      <c r="P835" s="15">
        <f>IF(G835,INDEX(monster!$J$2:$J$606,MATCH(skill!C835,monster!$A$2:$A$606,0)),Q835)</f>
        <v>1.2</v>
      </c>
      <c r="Q835" s="70"/>
      <c r="R835" s="33">
        <v>200</v>
      </c>
    </row>
    <row r="836" spans="1:18" s="38" customFormat="1" x14ac:dyDescent="0.15">
      <c r="A836" s="32">
        <v>10880</v>
      </c>
      <c r="B836" s="32" t="s">
        <v>1155</v>
      </c>
      <c r="C836" s="31">
        <v>1470</v>
      </c>
      <c r="D836" s="32">
        <v>9</v>
      </c>
      <c r="E836" s="15">
        <f>INDEX(monster!$H$2:$H$617,MATCH(skill!C836,monster!$A$2:$A$617,0))</f>
        <v>217.41</v>
      </c>
      <c r="F836" s="15">
        <f>INDEX(monster!$I$2:$I$617,MATCH(C836,monster!$A$2:$A$617,0))</f>
        <v>6.52</v>
      </c>
      <c r="G836" s="15" t="b">
        <f t="shared" si="46"/>
        <v>1</v>
      </c>
      <c r="H836" s="31">
        <v>1</v>
      </c>
      <c r="I836" s="15">
        <f>IF(H836&gt;0,HLOOKUP(R836/100,数值规划表!$B$37:$AA$39,3),1)</f>
        <v>2.8</v>
      </c>
      <c r="J836" s="31" t="s">
        <v>1627</v>
      </c>
      <c r="K836" s="15">
        <f>INDEX(数值规划表!$B$15:$B$18,MATCH(J836,攻击范围,0))</f>
        <v>0.7</v>
      </c>
      <c r="L836" s="30">
        <v>1</v>
      </c>
      <c r="M836" s="41">
        <v>0</v>
      </c>
      <c r="N836" s="15">
        <f t="shared" si="47"/>
        <v>426</v>
      </c>
      <c r="O836" s="15">
        <f t="shared" si="48"/>
        <v>12.78</v>
      </c>
      <c r="P836" s="15">
        <f>IF(G836,INDEX(monster!$J$2:$J$606,MATCH(skill!C836,monster!$A$2:$A$606,0)),Q836)</f>
        <v>1.2</v>
      </c>
      <c r="Q836" s="70"/>
      <c r="R836" s="33">
        <v>200</v>
      </c>
    </row>
    <row r="837" spans="1:18" s="38" customFormat="1" x14ac:dyDescent="0.15">
      <c r="A837" s="32">
        <v>10881</v>
      </c>
      <c r="B837" s="32" t="s">
        <v>1156</v>
      </c>
      <c r="C837" s="31">
        <v>1471</v>
      </c>
      <c r="D837" s="32">
        <v>10</v>
      </c>
      <c r="E837" s="15">
        <f>INDEX(monster!$H$2:$H$617,MATCH(skill!C837,monster!$A$2:$A$617,0))</f>
        <v>243.5</v>
      </c>
      <c r="F837" s="15">
        <f>INDEX(monster!$I$2:$I$617,MATCH(C837,monster!$A$2:$A$617,0))</f>
        <v>7.3</v>
      </c>
      <c r="G837" s="15" t="b">
        <f t="shared" si="46"/>
        <v>1</v>
      </c>
      <c r="H837" s="31">
        <v>1</v>
      </c>
      <c r="I837" s="15">
        <f>IF(H837&gt;0,HLOOKUP(R837/100,数值规划表!$B$37:$AA$39,3),1)</f>
        <v>2.8</v>
      </c>
      <c r="J837" s="31" t="s">
        <v>1627</v>
      </c>
      <c r="K837" s="15">
        <f>INDEX(数值规划表!$B$15:$B$18,MATCH(J837,攻击范围,0))</f>
        <v>0.7</v>
      </c>
      <c r="L837" s="30">
        <v>1</v>
      </c>
      <c r="M837" s="41">
        <v>0</v>
      </c>
      <c r="N837" s="15">
        <f t="shared" si="47"/>
        <v>477</v>
      </c>
      <c r="O837" s="15">
        <f t="shared" si="48"/>
        <v>14.31</v>
      </c>
      <c r="P837" s="15">
        <f>IF(G837,INDEX(monster!$J$2:$J$606,MATCH(skill!C837,monster!$A$2:$A$606,0)),Q837)</f>
        <v>1.2</v>
      </c>
      <c r="Q837" s="70"/>
      <c r="R837" s="33">
        <v>200</v>
      </c>
    </row>
    <row r="838" spans="1:18" s="38" customFormat="1" x14ac:dyDescent="0.15">
      <c r="A838" s="32">
        <v>10882</v>
      </c>
      <c r="B838" s="32" t="s">
        <v>1561</v>
      </c>
      <c r="C838" s="31">
        <v>1461</v>
      </c>
      <c r="D838" s="32">
        <v>0</v>
      </c>
      <c r="E838" s="15">
        <f>INDEX(数值规划表!$G$79:$G$89,$D838+1)</f>
        <v>310</v>
      </c>
      <c r="F838" s="15">
        <f>INDEX(数值规划表!$H$79:$H$89,$D838+1)</f>
        <v>9.2899999999999991</v>
      </c>
      <c r="G838" s="15" t="b">
        <f t="shared" si="46"/>
        <v>0</v>
      </c>
      <c r="H838" s="31">
        <v>0</v>
      </c>
      <c r="I838" s="15">
        <f>IF(H838&gt;0,HLOOKUP(R838/100,数值规划表!$B$37:$AA$39,3),1)</f>
        <v>1</v>
      </c>
      <c r="J838" s="31" t="s">
        <v>1628</v>
      </c>
      <c r="K838" s="15">
        <f>INDEX(数值规划表!$B$15:$B$18,MATCH(J838,攻击范围,0))</f>
        <v>0.5</v>
      </c>
      <c r="L838" s="30">
        <v>1</v>
      </c>
      <c r="M838" s="41">
        <v>0</v>
      </c>
      <c r="N838" s="15">
        <f t="shared" si="47"/>
        <v>155</v>
      </c>
      <c r="O838" s="15">
        <f t="shared" si="48"/>
        <v>4.6500000000000004</v>
      </c>
      <c r="P838" s="15">
        <f>IF(G838,INDEX(monster!$J$2:$J$606,MATCH(skill!C838,monster!$A$2:$A$606,0)),Q838)</f>
        <v>6</v>
      </c>
      <c r="Q838" s="70">
        <v>6</v>
      </c>
      <c r="R838" s="33">
        <v>1500</v>
      </c>
    </row>
    <row r="839" spans="1:18" s="38" customFormat="1" x14ac:dyDescent="0.15">
      <c r="A839" s="32">
        <v>10883</v>
      </c>
      <c r="B839" s="32" t="s">
        <v>1562</v>
      </c>
      <c r="C839" s="31">
        <v>1462</v>
      </c>
      <c r="D839" s="32">
        <v>1</v>
      </c>
      <c r="E839" s="15">
        <f>INDEX(数值规划表!$G$79:$G$89,$D839+1)</f>
        <v>347</v>
      </c>
      <c r="F839" s="15">
        <f>INDEX(数值规划表!$H$79:$H$89,$D839+1)</f>
        <v>10.4</v>
      </c>
      <c r="G839" s="15" t="b">
        <f t="shared" si="46"/>
        <v>0</v>
      </c>
      <c r="H839" s="31">
        <v>0</v>
      </c>
      <c r="I839" s="15">
        <f>IF(H839&gt;0,HLOOKUP(R839/100,数值规划表!$B$37:$AA$39,3),1)</f>
        <v>1</v>
      </c>
      <c r="J839" s="31" t="s">
        <v>1628</v>
      </c>
      <c r="K839" s="15">
        <f>INDEX(数值规划表!$B$15:$B$18,MATCH(J839,攻击范围,0))</f>
        <v>0.5</v>
      </c>
      <c r="L839" s="70">
        <v>1</v>
      </c>
      <c r="M839" s="41">
        <v>0</v>
      </c>
      <c r="N839" s="15">
        <f t="shared" si="47"/>
        <v>174</v>
      </c>
      <c r="O839" s="15">
        <f t="shared" si="48"/>
        <v>5.2</v>
      </c>
      <c r="P839" s="15">
        <f>IF(G839,INDEX(monster!$J$2:$J$606,MATCH(skill!C839,monster!$A$2:$A$606,0)),Q839)</f>
        <v>6</v>
      </c>
      <c r="Q839" s="70">
        <v>6</v>
      </c>
      <c r="R839" s="33">
        <v>1500</v>
      </c>
    </row>
    <row r="840" spans="1:18" s="38" customFormat="1" x14ac:dyDescent="0.15">
      <c r="A840" s="32">
        <v>10884</v>
      </c>
      <c r="B840" s="32" t="s">
        <v>1157</v>
      </c>
      <c r="C840" s="31">
        <v>1463</v>
      </c>
      <c r="D840" s="32">
        <v>2</v>
      </c>
      <c r="E840" s="15">
        <f>INDEX(数值规划表!$G$79:$G$89,$D840+1)</f>
        <v>388</v>
      </c>
      <c r="F840" s="15">
        <f>INDEX(数值规划表!$H$79:$H$89,$D840+1)</f>
        <v>11.65</v>
      </c>
      <c r="G840" s="15" t="b">
        <f t="shared" si="46"/>
        <v>0</v>
      </c>
      <c r="H840" s="31">
        <v>0</v>
      </c>
      <c r="I840" s="15">
        <f>IF(H840&gt;0,HLOOKUP(R840/100,数值规划表!$B$37:$AA$39,3),1)</f>
        <v>1</v>
      </c>
      <c r="J840" s="31" t="s">
        <v>1628</v>
      </c>
      <c r="K840" s="15">
        <f>INDEX(数值规划表!$B$15:$B$18,MATCH(J840,攻击范围,0))</f>
        <v>0.5</v>
      </c>
      <c r="L840" s="70">
        <v>1</v>
      </c>
      <c r="M840" s="41">
        <v>0</v>
      </c>
      <c r="N840" s="15">
        <f t="shared" si="47"/>
        <v>194</v>
      </c>
      <c r="O840" s="15">
        <f t="shared" si="48"/>
        <v>5.83</v>
      </c>
      <c r="P840" s="15">
        <f>IF(G840,INDEX(monster!$J$2:$J$606,MATCH(skill!C840,monster!$A$2:$A$606,0)),Q840)</f>
        <v>6</v>
      </c>
      <c r="Q840" s="70">
        <v>6</v>
      </c>
      <c r="R840" s="33">
        <v>1500</v>
      </c>
    </row>
    <row r="841" spans="1:18" s="38" customFormat="1" x14ac:dyDescent="0.15">
      <c r="A841" s="32">
        <v>10885</v>
      </c>
      <c r="B841" s="32" t="s">
        <v>1158</v>
      </c>
      <c r="C841" s="31">
        <v>1464</v>
      </c>
      <c r="D841" s="32">
        <v>3</v>
      </c>
      <c r="E841" s="15">
        <f>INDEX(数值规划表!$G$79:$G$89,$D841+1)</f>
        <v>435</v>
      </c>
      <c r="F841" s="15">
        <f>INDEX(数值规划表!$H$79:$H$89,$D841+1)</f>
        <v>13.05</v>
      </c>
      <c r="G841" s="15" t="b">
        <f t="shared" si="46"/>
        <v>0</v>
      </c>
      <c r="H841" s="31">
        <v>0</v>
      </c>
      <c r="I841" s="15">
        <f>IF(H841&gt;0,HLOOKUP(R841/100,数值规划表!$B$37:$AA$39,3),1)</f>
        <v>1</v>
      </c>
      <c r="J841" s="31" t="s">
        <v>1628</v>
      </c>
      <c r="K841" s="15">
        <f>INDEX(数值规划表!$B$15:$B$18,MATCH(J841,攻击范围,0))</f>
        <v>0.5</v>
      </c>
      <c r="L841" s="70">
        <v>1</v>
      </c>
      <c r="M841" s="41">
        <v>0</v>
      </c>
      <c r="N841" s="15">
        <f t="shared" si="47"/>
        <v>218</v>
      </c>
      <c r="O841" s="15">
        <f t="shared" si="48"/>
        <v>6.53</v>
      </c>
      <c r="P841" s="15">
        <f>IF(G841,INDEX(monster!$J$2:$J$606,MATCH(skill!C841,monster!$A$2:$A$606,0)),Q841)</f>
        <v>6</v>
      </c>
      <c r="Q841" s="70">
        <v>6</v>
      </c>
      <c r="R841" s="33">
        <v>1500</v>
      </c>
    </row>
    <row r="842" spans="1:18" s="38" customFormat="1" x14ac:dyDescent="0.15">
      <c r="A842" s="32">
        <v>10886</v>
      </c>
      <c r="B842" s="32" t="s">
        <v>1159</v>
      </c>
      <c r="C842" s="31">
        <v>1465</v>
      </c>
      <c r="D842" s="32">
        <v>4</v>
      </c>
      <c r="E842" s="15">
        <f>INDEX(数值规划表!$G$79:$G$89,$D842+1)</f>
        <v>487</v>
      </c>
      <c r="F842" s="15">
        <f>INDEX(数值规划表!$H$79:$H$89,$D842+1)</f>
        <v>14.61</v>
      </c>
      <c r="G842" s="15" t="b">
        <f t="shared" si="46"/>
        <v>0</v>
      </c>
      <c r="H842" s="31">
        <v>0</v>
      </c>
      <c r="I842" s="15">
        <f>IF(H842&gt;0,HLOOKUP(R842/100,数值规划表!$B$37:$AA$39,3),1)</f>
        <v>1</v>
      </c>
      <c r="J842" s="31" t="s">
        <v>1628</v>
      </c>
      <c r="K842" s="15">
        <f>INDEX(数值规划表!$B$15:$B$18,MATCH(J842,攻击范围,0))</f>
        <v>0.5</v>
      </c>
      <c r="L842" s="70">
        <v>1</v>
      </c>
      <c r="M842" s="41">
        <v>0</v>
      </c>
      <c r="N842" s="15">
        <f t="shared" si="47"/>
        <v>244</v>
      </c>
      <c r="O842" s="15">
        <f t="shared" si="48"/>
        <v>7.31</v>
      </c>
      <c r="P842" s="15">
        <f>IF(G842,INDEX(monster!$J$2:$J$606,MATCH(skill!C842,monster!$A$2:$A$606,0)),Q842)</f>
        <v>6</v>
      </c>
      <c r="Q842" s="70">
        <v>6</v>
      </c>
      <c r="R842" s="33">
        <v>1500</v>
      </c>
    </row>
    <row r="843" spans="1:18" s="38" customFormat="1" x14ac:dyDescent="0.15">
      <c r="A843" s="32">
        <v>10887</v>
      </c>
      <c r="B843" s="32" t="s">
        <v>1160</v>
      </c>
      <c r="C843" s="31">
        <v>1466</v>
      </c>
      <c r="D843" s="32">
        <v>5</v>
      </c>
      <c r="E843" s="15">
        <f>INDEX(数值规划表!$G$79:$G$89,$D843+1)</f>
        <v>546</v>
      </c>
      <c r="F843" s="15">
        <f>INDEX(数值规划表!$H$79:$H$89,$D843+1)</f>
        <v>16.37</v>
      </c>
      <c r="G843" s="15" t="b">
        <f t="shared" si="46"/>
        <v>0</v>
      </c>
      <c r="H843" s="31">
        <v>0</v>
      </c>
      <c r="I843" s="15">
        <f>IF(H843&gt;0,HLOOKUP(R843/100,数值规划表!$B$37:$AA$39,3),1)</f>
        <v>1</v>
      </c>
      <c r="J843" s="31" t="s">
        <v>1628</v>
      </c>
      <c r="K843" s="15">
        <f>INDEX(数值规划表!$B$15:$B$18,MATCH(J843,攻击范围,0))</f>
        <v>0.5</v>
      </c>
      <c r="L843" s="70">
        <v>1</v>
      </c>
      <c r="M843" s="41">
        <v>0</v>
      </c>
      <c r="N843" s="15">
        <f t="shared" si="47"/>
        <v>273</v>
      </c>
      <c r="O843" s="15">
        <f t="shared" si="48"/>
        <v>8.19</v>
      </c>
      <c r="P843" s="15">
        <f>IF(G843,INDEX(monster!$J$2:$J$606,MATCH(skill!C843,monster!$A$2:$A$606,0)),Q843)</f>
        <v>6</v>
      </c>
      <c r="Q843" s="70">
        <v>6</v>
      </c>
      <c r="R843" s="33">
        <v>1500</v>
      </c>
    </row>
    <row r="844" spans="1:18" s="38" customFormat="1" x14ac:dyDescent="0.15">
      <c r="A844" s="32">
        <v>10888</v>
      </c>
      <c r="B844" s="32" t="s">
        <v>1161</v>
      </c>
      <c r="C844" s="31">
        <v>1467</v>
      </c>
      <c r="D844" s="32">
        <v>6</v>
      </c>
      <c r="E844" s="15">
        <f>INDEX(数值规划表!$G$79:$G$89,$D844+1)</f>
        <v>611</v>
      </c>
      <c r="F844" s="15">
        <f>INDEX(数值规划表!$H$79:$H$89,$D844+1)</f>
        <v>18.329999999999998</v>
      </c>
      <c r="G844" s="15" t="b">
        <f t="shared" si="46"/>
        <v>0</v>
      </c>
      <c r="H844" s="31">
        <v>0</v>
      </c>
      <c r="I844" s="15">
        <f>IF(H844&gt;0,HLOOKUP(R844/100,数值规划表!$B$37:$AA$39,3),1)</f>
        <v>1</v>
      </c>
      <c r="J844" s="31" t="s">
        <v>1628</v>
      </c>
      <c r="K844" s="15">
        <f>INDEX(数值规划表!$B$15:$B$18,MATCH(J844,攻击范围,0))</f>
        <v>0.5</v>
      </c>
      <c r="L844" s="70">
        <v>1</v>
      </c>
      <c r="M844" s="41">
        <v>0</v>
      </c>
      <c r="N844" s="15">
        <f t="shared" si="47"/>
        <v>306</v>
      </c>
      <c r="O844" s="15">
        <f t="shared" si="48"/>
        <v>9.17</v>
      </c>
      <c r="P844" s="15">
        <f>IF(G844,INDEX(monster!$J$2:$J$606,MATCH(skill!C844,monster!$A$2:$A$606,0)),Q844)</f>
        <v>6</v>
      </c>
      <c r="Q844" s="70">
        <v>6</v>
      </c>
      <c r="R844" s="33">
        <v>1500</v>
      </c>
    </row>
    <row r="845" spans="1:18" s="38" customFormat="1" x14ac:dyDescent="0.15">
      <c r="A845" s="32">
        <v>10889</v>
      </c>
      <c r="B845" s="32" t="s">
        <v>1162</v>
      </c>
      <c r="C845" s="31">
        <v>1468</v>
      </c>
      <c r="D845" s="32">
        <v>7</v>
      </c>
      <c r="E845" s="15">
        <f>INDEX(数值规划表!$G$79:$G$89,$D845+1)</f>
        <v>684</v>
      </c>
      <c r="F845" s="15">
        <f>INDEX(数值规划表!$H$79:$H$89,$D845+1)</f>
        <v>20.53</v>
      </c>
      <c r="G845" s="15" t="b">
        <f t="shared" si="46"/>
        <v>0</v>
      </c>
      <c r="H845" s="31">
        <v>0</v>
      </c>
      <c r="I845" s="15">
        <f>IF(H845&gt;0,HLOOKUP(R845/100,数值规划表!$B$37:$AA$39,3),1)</f>
        <v>1</v>
      </c>
      <c r="J845" s="31" t="s">
        <v>1628</v>
      </c>
      <c r="K845" s="15">
        <f>INDEX(数值规划表!$B$15:$B$18,MATCH(J845,攻击范围,0))</f>
        <v>0.5</v>
      </c>
      <c r="L845" s="70">
        <v>1</v>
      </c>
      <c r="M845" s="41">
        <v>0</v>
      </c>
      <c r="N845" s="15">
        <f t="shared" si="47"/>
        <v>342</v>
      </c>
      <c r="O845" s="15">
        <f t="shared" si="48"/>
        <v>10.27</v>
      </c>
      <c r="P845" s="15">
        <f>IF(G845,INDEX(monster!$J$2:$J$606,MATCH(skill!C845,monster!$A$2:$A$606,0)),Q845)</f>
        <v>6</v>
      </c>
      <c r="Q845" s="70">
        <v>6</v>
      </c>
      <c r="R845" s="33">
        <v>1500</v>
      </c>
    </row>
    <row r="846" spans="1:18" s="38" customFormat="1" x14ac:dyDescent="0.15">
      <c r="A846" s="32">
        <v>10890</v>
      </c>
      <c r="B846" s="32" t="s">
        <v>1163</v>
      </c>
      <c r="C846" s="31">
        <v>1469</v>
      </c>
      <c r="D846" s="32">
        <v>8</v>
      </c>
      <c r="E846" s="15">
        <f>INDEX(数值规划表!$G$79:$G$89,$D846+1)</f>
        <v>766</v>
      </c>
      <c r="F846" s="15">
        <f>INDEX(数值规划表!$H$79:$H$89,$D846+1)</f>
        <v>22.99</v>
      </c>
      <c r="G846" s="15" t="b">
        <f t="shared" si="46"/>
        <v>0</v>
      </c>
      <c r="H846" s="31">
        <v>0</v>
      </c>
      <c r="I846" s="15">
        <f>IF(H846&gt;0,HLOOKUP(R846/100,数值规划表!$B$37:$AA$39,3),1)</f>
        <v>1</v>
      </c>
      <c r="J846" s="31" t="s">
        <v>1628</v>
      </c>
      <c r="K846" s="15">
        <f>INDEX(数值规划表!$B$15:$B$18,MATCH(J846,攻击范围,0))</f>
        <v>0.5</v>
      </c>
      <c r="L846" s="70">
        <v>1</v>
      </c>
      <c r="M846" s="41">
        <v>0</v>
      </c>
      <c r="N846" s="15">
        <f t="shared" si="47"/>
        <v>383</v>
      </c>
      <c r="O846" s="15">
        <f t="shared" si="48"/>
        <v>11.5</v>
      </c>
      <c r="P846" s="15">
        <f>IF(G846,INDEX(monster!$J$2:$J$606,MATCH(skill!C846,monster!$A$2:$A$606,0)),Q846)</f>
        <v>6</v>
      </c>
      <c r="Q846" s="70">
        <v>6</v>
      </c>
      <c r="R846" s="33">
        <v>1500</v>
      </c>
    </row>
    <row r="847" spans="1:18" s="38" customFormat="1" x14ac:dyDescent="0.15">
      <c r="A847" s="32">
        <v>10891</v>
      </c>
      <c r="B847" s="32" t="s">
        <v>1164</v>
      </c>
      <c r="C847" s="31">
        <v>1470</v>
      </c>
      <c r="D847" s="32">
        <v>9</v>
      </c>
      <c r="E847" s="15">
        <f>INDEX(数值规划表!$G$79:$G$89,$D847+1)</f>
        <v>858</v>
      </c>
      <c r="F847" s="15">
        <f>INDEX(数值规划表!$H$79:$H$89,$D847+1)</f>
        <v>25.75</v>
      </c>
      <c r="G847" s="15" t="b">
        <f t="shared" si="46"/>
        <v>0</v>
      </c>
      <c r="H847" s="31">
        <v>0</v>
      </c>
      <c r="I847" s="15">
        <f>IF(H847&gt;0,HLOOKUP(R847/100,数值规划表!$B$37:$AA$39,3),1)</f>
        <v>1</v>
      </c>
      <c r="J847" s="31" t="s">
        <v>1628</v>
      </c>
      <c r="K847" s="15">
        <f>INDEX(数值规划表!$B$15:$B$18,MATCH(J847,攻击范围,0))</f>
        <v>0.5</v>
      </c>
      <c r="L847" s="70">
        <v>1</v>
      </c>
      <c r="M847" s="41">
        <v>0</v>
      </c>
      <c r="N847" s="15">
        <f t="shared" si="47"/>
        <v>429</v>
      </c>
      <c r="O847" s="15">
        <f t="shared" si="48"/>
        <v>12.88</v>
      </c>
      <c r="P847" s="15">
        <f>IF(G847,INDEX(monster!$J$2:$J$606,MATCH(skill!C847,monster!$A$2:$A$606,0)),Q847)</f>
        <v>6</v>
      </c>
      <c r="Q847" s="70">
        <v>6</v>
      </c>
      <c r="R847" s="33">
        <v>1500</v>
      </c>
    </row>
    <row r="848" spans="1:18" s="38" customFormat="1" x14ac:dyDescent="0.15">
      <c r="A848" s="32">
        <v>10892</v>
      </c>
      <c r="B848" s="32" t="s">
        <v>1165</v>
      </c>
      <c r="C848" s="31">
        <v>1471</v>
      </c>
      <c r="D848" s="32">
        <v>10</v>
      </c>
      <c r="E848" s="15">
        <f>INDEX(数值规划表!$G$79:$G$89,$D848+1)</f>
        <v>961</v>
      </c>
      <c r="F848" s="15">
        <f>INDEX(数值规划表!$H$79:$H$89,$D848+1)</f>
        <v>28.84</v>
      </c>
      <c r="G848" s="15" t="b">
        <f t="shared" si="46"/>
        <v>0</v>
      </c>
      <c r="H848" s="31">
        <v>0</v>
      </c>
      <c r="I848" s="15">
        <f>IF(H848&gt;0,HLOOKUP(R848/100,数值规划表!$B$37:$AA$39,3),1)</f>
        <v>1</v>
      </c>
      <c r="J848" s="31" t="s">
        <v>1628</v>
      </c>
      <c r="K848" s="15">
        <f>INDEX(数值规划表!$B$15:$B$18,MATCH(J848,攻击范围,0))</f>
        <v>0.5</v>
      </c>
      <c r="L848" s="70">
        <v>1</v>
      </c>
      <c r="M848" s="41">
        <v>0</v>
      </c>
      <c r="N848" s="15">
        <f t="shared" si="47"/>
        <v>481</v>
      </c>
      <c r="O848" s="15">
        <f t="shared" si="48"/>
        <v>14.42</v>
      </c>
      <c r="P848" s="15">
        <f>IF(G848,INDEX(monster!$J$2:$J$606,MATCH(skill!C848,monster!$A$2:$A$606,0)),Q848)</f>
        <v>6</v>
      </c>
      <c r="Q848" s="70">
        <v>6</v>
      </c>
      <c r="R848" s="33">
        <v>1500</v>
      </c>
    </row>
    <row r="849" spans="1:18" s="38" customFormat="1" x14ac:dyDescent="0.15">
      <c r="A849" s="32">
        <v>10893</v>
      </c>
      <c r="B849" s="32" t="s">
        <v>1563</v>
      </c>
      <c r="C849" s="31">
        <v>1472</v>
      </c>
      <c r="D849" s="32">
        <v>0</v>
      </c>
      <c r="E849" s="15">
        <f>INDEX(monster!$H$2:$H$617,MATCH(skill!C849,monster!$A$2:$A$617,0))</f>
        <v>139.96</v>
      </c>
      <c r="F849" s="15">
        <f>INDEX(monster!$I$2:$I$617,MATCH(C849,monster!$A$2:$A$617,0))</f>
        <v>4.2</v>
      </c>
      <c r="G849" s="15" t="b">
        <f t="shared" si="46"/>
        <v>1</v>
      </c>
      <c r="H849" s="31">
        <v>1</v>
      </c>
      <c r="I849" s="15">
        <f>IF(H849&gt;0,HLOOKUP(R849/100,数值规划表!$B$37:$AA$39,3),1)</f>
        <v>1.296</v>
      </c>
      <c r="J849" s="31" t="s">
        <v>1625</v>
      </c>
      <c r="K849" s="15">
        <f>INDEX(数值规划表!$B$15:$B$18,MATCH(J849,攻击范围,0))</f>
        <v>1</v>
      </c>
      <c r="L849" s="30">
        <v>1</v>
      </c>
      <c r="M849" s="41">
        <v>0</v>
      </c>
      <c r="N849" s="15">
        <f t="shared" si="47"/>
        <v>181</v>
      </c>
      <c r="O849" s="15">
        <f t="shared" si="48"/>
        <v>5.44</v>
      </c>
      <c r="P849" s="15">
        <f>IF(G849,INDEX(monster!$J$2:$J$606,MATCH(skill!C849,monster!$A$2:$A$606,0)),Q849)</f>
        <v>1.2</v>
      </c>
      <c r="Q849" s="70"/>
      <c r="R849" s="33">
        <v>120</v>
      </c>
    </row>
    <row r="850" spans="1:18" s="38" customFormat="1" x14ac:dyDescent="0.15">
      <c r="A850" s="32">
        <v>10894</v>
      </c>
      <c r="B850" s="32" t="s">
        <v>1564</v>
      </c>
      <c r="C850" s="31">
        <v>1473</v>
      </c>
      <c r="D850" s="32">
        <v>1</v>
      </c>
      <c r="E850" s="15">
        <f>INDEX(monster!$H$2:$H$617,MATCH(skill!C850,monster!$A$2:$A$617,0))</f>
        <v>156.76</v>
      </c>
      <c r="F850" s="15">
        <f>INDEX(monster!$I$2:$I$617,MATCH(C850,monster!$A$2:$A$617,0))</f>
        <v>4.7</v>
      </c>
      <c r="G850" s="15" t="b">
        <f t="shared" si="46"/>
        <v>1</v>
      </c>
      <c r="H850" s="31">
        <v>1</v>
      </c>
      <c r="I850" s="15">
        <f>IF(H850&gt;0,HLOOKUP(R850/100,数值规划表!$B$37:$AA$39,3),1)</f>
        <v>1.296</v>
      </c>
      <c r="J850" s="31" t="s">
        <v>1625</v>
      </c>
      <c r="K850" s="15">
        <f>INDEX(数值规划表!$B$15:$B$18,MATCH(J850,攻击范围,0))</f>
        <v>1</v>
      </c>
      <c r="L850" s="30">
        <v>1</v>
      </c>
      <c r="M850" s="41">
        <v>0</v>
      </c>
      <c r="N850" s="15">
        <f t="shared" si="47"/>
        <v>203</v>
      </c>
      <c r="O850" s="15">
        <f t="shared" si="48"/>
        <v>6.09</v>
      </c>
      <c r="P850" s="15">
        <f>IF(G850,INDEX(monster!$J$2:$J$606,MATCH(skill!C850,monster!$A$2:$A$606,0)),Q850)</f>
        <v>1.2</v>
      </c>
      <c r="Q850" s="70"/>
      <c r="R850" s="33">
        <v>120</v>
      </c>
    </row>
    <row r="851" spans="1:18" s="38" customFormat="1" x14ac:dyDescent="0.15">
      <c r="A851" s="32">
        <v>10895</v>
      </c>
      <c r="B851" s="32" t="s">
        <v>1166</v>
      </c>
      <c r="C851" s="31">
        <v>1474</v>
      </c>
      <c r="D851" s="32">
        <v>2</v>
      </c>
      <c r="E851" s="15">
        <f>INDEX(monster!$H$2:$H$617,MATCH(skill!C851,monster!$A$2:$A$617,0))</f>
        <v>175.57</v>
      </c>
      <c r="F851" s="15">
        <f>INDEX(monster!$I$2:$I$617,MATCH(C851,monster!$A$2:$A$617,0))</f>
        <v>5.27</v>
      </c>
      <c r="G851" s="15" t="b">
        <f t="shared" si="46"/>
        <v>1</v>
      </c>
      <c r="H851" s="31">
        <v>1</v>
      </c>
      <c r="I851" s="15">
        <f>IF(H851&gt;0,HLOOKUP(R851/100,数值规划表!$B$37:$AA$39,3),1)</f>
        <v>1.296</v>
      </c>
      <c r="J851" s="31" t="s">
        <v>1625</v>
      </c>
      <c r="K851" s="15">
        <f>INDEX(数值规划表!$B$15:$B$18,MATCH(J851,攻击范围,0))</f>
        <v>1</v>
      </c>
      <c r="L851" s="30">
        <v>1</v>
      </c>
      <c r="M851" s="41">
        <v>0</v>
      </c>
      <c r="N851" s="15">
        <f t="shared" si="47"/>
        <v>228</v>
      </c>
      <c r="O851" s="15">
        <f t="shared" si="48"/>
        <v>6.83</v>
      </c>
      <c r="P851" s="15">
        <f>IF(G851,INDEX(monster!$J$2:$J$606,MATCH(skill!C851,monster!$A$2:$A$606,0)),Q851)</f>
        <v>1.2</v>
      </c>
      <c r="Q851" s="70"/>
      <c r="R851" s="33">
        <v>120</v>
      </c>
    </row>
    <row r="852" spans="1:18" s="38" customFormat="1" x14ac:dyDescent="0.15">
      <c r="A852" s="32">
        <v>10896</v>
      </c>
      <c r="B852" s="32" t="s">
        <v>1167</v>
      </c>
      <c r="C852" s="31">
        <v>1475</v>
      </c>
      <c r="D852" s="32">
        <v>3</v>
      </c>
      <c r="E852" s="15">
        <f>INDEX(monster!$H$2:$H$617,MATCH(skill!C852,monster!$A$2:$A$617,0))</f>
        <v>196.63</v>
      </c>
      <c r="F852" s="15">
        <f>INDEX(monster!$I$2:$I$617,MATCH(C852,monster!$A$2:$A$617,0))</f>
        <v>5.9</v>
      </c>
      <c r="G852" s="15" t="b">
        <f t="shared" si="46"/>
        <v>1</v>
      </c>
      <c r="H852" s="31">
        <v>1</v>
      </c>
      <c r="I852" s="15">
        <f>IF(H852&gt;0,HLOOKUP(R852/100,数值规划表!$B$37:$AA$39,3),1)</f>
        <v>1.296</v>
      </c>
      <c r="J852" s="31" t="s">
        <v>1625</v>
      </c>
      <c r="K852" s="15">
        <f>INDEX(数值规划表!$B$15:$B$18,MATCH(J852,攻击范围,0))</f>
        <v>1</v>
      </c>
      <c r="L852" s="30">
        <v>1</v>
      </c>
      <c r="M852" s="41">
        <v>0</v>
      </c>
      <c r="N852" s="15">
        <f t="shared" si="47"/>
        <v>255</v>
      </c>
      <c r="O852" s="15">
        <f t="shared" si="48"/>
        <v>7.65</v>
      </c>
      <c r="P852" s="15">
        <f>IF(G852,INDEX(monster!$J$2:$J$606,MATCH(skill!C852,monster!$A$2:$A$606,0)),Q852)</f>
        <v>1.2</v>
      </c>
      <c r="Q852" s="70"/>
      <c r="R852" s="33">
        <v>120</v>
      </c>
    </row>
    <row r="853" spans="1:18" s="38" customFormat="1" x14ac:dyDescent="0.15">
      <c r="A853" s="32">
        <v>10897</v>
      </c>
      <c r="B853" s="32" t="s">
        <v>1168</v>
      </c>
      <c r="C853" s="31">
        <v>1476</v>
      </c>
      <c r="D853" s="32">
        <v>4</v>
      </c>
      <c r="E853" s="15">
        <f>INDEX(monster!$H$2:$H$617,MATCH(skill!C853,monster!$A$2:$A$617,0))</f>
        <v>220.23</v>
      </c>
      <c r="F853" s="15">
        <f>INDEX(monster!$I$2:$I$617,MATCH(C853,monster!$A$2:$A$617,0))</f>
        <v>6.61</v>
      </c>
      <c r="G853" s="15" t="b">
        <f t="shared" si="46"/>
        <v>1</v>
      </c>
      <c r="H853" s="31">
        <v>1</v>
      </c>
      <c r="I853" s="15">
        <f>IF(H853&gt;0,HLOOKUP(R853/100,数值规划表!$B$37:$AA$39,3),1)</f>
        <v>1.296</v>
      </c>
      <c r="J853" s="31" t="s">
        <v>1625</v>
      </c>
      <c r="K853" s="15">
        <f>INDEX(数值规划表!$B$15:$B$18,MATCH(J853,攻击范围,0))</f>
        <v>1</v>
      </c>
      <c r="L853" s="30">
        <v>1</v>
      </c>
      <c r="M853" s="41">
        <v>0</v>
      </c>
      <c r="N853" s="15">
        <f t="shared" si="47"/>
        <v>285</v>
      </c>
      <c r="O853" s="15">
        <f t="shared" si="48"/>
        <v>8.57</v>
      </c>
      <c r="P853" s="15">
        <f>IF(G853,INDEX(monster!$J$2:$J$606,MATCH(skill!C853,monster!$A$2:$A$606,0)),Q853)</f>
        <v>1.2</v>
      </c>
      <c r="Q853" s="70"/>
      <c r="R853" s="33">
        <v>120</v>
      </c>
    </row>
    <row r="854" spans="1:18" s="38" customFormat="1" x14ac:dyDescent="0.15">
      <c r="A854" s="32">
        <v>10898</v>
      </c>
      <c r="B854" s="32" t="s">
        <v>1169</v>
      </c>
      <c r="C854" s="31">
        <v>1477</v>
      </c>
      <c r="D854" s="32">
        <v>5</v>
      </c>
      <c r="E854" s="15">
        <f>INDEX(monster!$H$2:$H$617,MATCH(skill!C854,monster!$A$2:$A$617,0))</f>
        <v>246.66</v>
      </c>
      <c r="F854" s="15">
        <f>INDEX(monster!$I$2:$I$617,MATCH(C854,monster!$A$2:$A$617,0))</f>
        <v>7.4</v>
      </c>
      <c r="G854" s="15" t="b">
        <f t="shared" si="46"/>
        <v>1</v>
      </c>
      <c r="H854" s="31">
        <v>1</v>
      </c>
      <c r="I854" s="15">
        <f>IF(H854&gt;0,HLOOKUP(R854/100,数值规划表!$B$37:$AA$39,3),1)</f>
        <v>1.296</v>
      </c>
      <c r="J854" s="31" t="s">
        <v>1625</v>
      </c>
      <c r="K854" s="15">
        <f>INDEX(数值规划表!$B$15:$B$18,MATCH(J854,攻击范围,0))</f>
        <v>1</v>
      </c>
      <c r="L854" s="30">
        <v>1</v>
      </c>
      <c r="M854" s="41">
        <v>0</v>
      </c>
      <c r="N854" s="15">
        <f t="shared" si="47"/>
        <v>320</v>
      </c>
      <c r="O854" s="15">
        <f t="shared" si="48"/>
        <v>9.59</v>
      </c>
      <c r="P854" s="15">
        <f>IF(G854,INDEX(monster!$J$2:$J$606,MATCH(skill!C854,monster!$A$2:$A$606,0)),Q854)</f>
        <v>1.2</v>
      </c>
      <c r="Q854" s="70"/>
      <c r="R854" s="33">
        <v>120</v>
      </c>
    </row>
    <row r="855" spans="1:18" s="38" customFormat="1" x14ac:dyDescent="0.15">
      <c r="A855" s="32">
        <v>10899</v>
      </c>
      <c r="B855" s="32" t="s">
        <v>1170</v>
      </c>
      <c r="C855" s="31">
        <v>1478</v>
      </c>
      <c r="D855" s="32">
        <v>6</v>
      </c>
      <c r="E855" s="15">
        <f>INDEX(monster!$H$2:$H$617,MATCH(skill!C855,monster!$A$2:$A$617,0))</f>
        <v>276.26</v>
      </c>
      <c r="F855" s="15">
        <f>INDEX(monster!$I$2:$I$617,MATCH(C855,monster!$A$2:$A$617,0))</f>
        <v>8.2899999999999991</v>
      </c>
      <c r="G855" s="15" t="b">
        <f t="shared" si="46"/>
        <v>1</v>
      </c>
      <c r="H855" s="31">
        <v>1</v>
      </c>
      <c r="I855" s="15">
        <f>IF(H855&gt;0,HLOOKUP(R855/100,数值规划表!$B$37:$AA$39,3),1)</f>
        <v>1.296</v>
      </c>
      <c r="J855" s="31" t="s">
        <v>1625</v>
      </c>
      <c r="K855" s="15">
        <f>INDEX(数值规划表!$B$15:$B$18,MATCH(J855,攻击范围,0))</f>
        <v>1</v>
      </c>
      <c r="L855" s="30">
        <v>1</v>
      </c>
      <c r="M855" s="41">
        <v>0</v>
      </c>
      <c r="N855" s="15">
        <f t="shared" si="47"/>
        <v>358</v>
      </c>
      <c r="O855" s="15">
        <f t="shared" si="48"/>
        <v>10.74</v>
      </c>
      <c r="P855" s="15">
        <f>IF(G855,INDEX(monster!$J$2:$J$606,MATCH(skill!C855,monster!$A$2:$A$606,0)),Q855)</f>
        <v>1.2</v>
      </c>
      <c r="Q855" s="70"/>
      <c r="R855" s="33">
        <v>120</v>
      </c>
    </row>
    <row r="856" spans="1:18" s="38" customFormat="1" x14ac:dyDescent="0.15">
      <c r="A856" s="32">
        <v>10900</v>
      </c>
      <c r="B856" s="32" t="s">
        <v>1171</v>
      </c>
      <c r="C856" s="31">
        <v>1479</v>
      </c>
      <c r="D856" s="32">
        <v>7</v>
      </c>
      <c r="E856" s="15">
        <f>INDEX(monster!$H$2:$H$617,MATCH(skill!C856,monster!$A$2:$A$617,0))</f>
        <v>309.41000000000003</v>
      </c>
      <c r="F856" s="15">
        <f>INDEX(monster!$I$2:$I$617,MATCH(C856,monster!$A$2:$A$617,0))</f>
        <v>9.2799999999999994</v>
      </c>
      <c r="G856" s="15" t="b">
        <f t="shared" si="46"/>
        <v>1</v>
      </c>
      <c r="H856" s="31">
        <v>1</v>
      </c>
      <c r="I856" s="15">
        <f>IF(H856&gt;0,HLOOKUP(R856/100,数值规划表!$B$37:$AA$39,3),1)</f>
        <v>1.296</v>
      </c>
      <c r="J856" s="31" t="s">
        <v>1625</v>
      </c>
      <c r="K856" s="15">
        <f>INDEX(数值规划表!$B$15:$B$18,MATCH(J856,攻击范围,0))</f>
        <v>1</v>
      </c>
      <c r="L856" s="30">
        <v>1</v>
      </c>
      <c r="M856" s="41">
        <v>0</v>
      </c>
      <c r="N856" s="15">
        <f t="shared" si="47"/>
        <v>401</v>
      </c>
      <c r="O856" s="15">
        <f t="shared" si="48"/>
        <v>12.03</v>
      </c>
      <c r="P856" s="15">
        <f>IF(G856,INDEX(monster!$J$2:$J$606,MATCH(skill!C856,monster!$A$2:$A$606,0)),Q856)</f>
        <v>1.2</v>
      </c>
      <c r="Q856" s="70"/>
      <c r="R856" s="33">
        <v>120</v>
      </c>
    </row>
    <row r="857" spans="1:18" s="38" customFormat="1" x14ac:dyDescent="0.15">
      <c r="A857" s="32">
        <v>10901</v>
      </c>
      <c r="B857" s="32" t="s">
        <v>1172</v>
      </c>
      <c r="C857" s="31">
        <v>1480</v>
      </c>
      <c r="D857" s="32">
        <v>8</v>
      </c>
      <c r="E857" s="15">
        <f>INDEX(monster!$H$2:$H$617,MATCH(skill!C857,monster!$A$2:$A$617,0))</f>
        <v>346.54</v>
      </c>
      <c r="F857" s="15">
        <f>INDEX(monster!$I$2:$I$617,MATCH(C857,monster!$A$2:$A$617,0))</f>
        <v>10.4</v>
      </c>
      <c r="G857" s="15" t="b">
        <f t="shared" si="46"/>
        <v>1</v>
      </c>
      <c r="H857" s="31">
        <v>1</v>
      </c>
      <c r="I857" s="15">
        <f>IF(H857&gt;0,HLOOKUP(R857/100,数值规划表!$B$37:$AA$39,3),1)</f>
        <v>1.296</v>
      </c>
      <c r="J857" s="31" t="s">
        <v>1625</v>
      </c>
      <c r="K857" s="15">
        <f>INDEX(数值规划表!$B$15:$B$18,MATCH(J857,攻击范围,0))</f>
        <v>1</v>
      </c>
      <c r="L857" s="30">
        <v>1</v>
      </c>
      <c r="M857" s="41">
        <v>0</v>
      </c>
      <c r="N857" s="15">
        <f t="shared" si="47"/>
        <v>449</v>
      </c>
      <c r="O857" s="15">
        <f t="shared" si="48"/>
        <v>13.48</v>
      </c>
      <c r="P857" s="15">
        <f>IF(G857,INDEX(monster!$J$2:$J$606,MATCH(skill!C857,monster!$A$2:$A$606,0)),Q857)</f>
        <v>1.2</v>
      </c>
      <c r="Q857" s="70"/>
      <c r="R857" s="33">
        <v>120</v>
      </c>
    </row>
    <row r="858" spans="1:18" s="38" customFormat="1" x14ac:dyDescent="0.15">
      <c r="A858" s="32">
        <v>10902</v>
      </c>
      <c r="B858" s="32" t="s">
        <v>1173</v>
      </c>
      <c r="C858" s="31">
        <v>1481</v>
      </c>
      <c r="D858" s="32">
        <v>9</v>
      </c>
      <c r="E858" s="15">
        <f>INDEX(monster!$H$2:$H$617,MATCH(skill!C858,monster!$A$2:$A$617,0))</f>
        <v>388.12</v>
      </c>
      <c r="F858" s="15">
        <f>INDEX(monster!$I$2:$I$617,MATCH(C858,monster!$A$2:$A$617,0))</f>
        <v>11.64</v>
      </c>
      <c r="G858" s="15" t="b">
        <f t="shared" si="46"/>
        <v>1</v>
      </c>
      <c r="H858" s="31">
        <v>1</v>
      </c>
      <c r="I858" s="15">
        <f>IF(H858&gt;0,HLOOKUP(R858/100,数值规划表!$B$37:$AA$39,3),1)</f>
        <v>1.296</v>
      </c>
      <c r="J858" s="31" t="s">
        <v>1625</v>
      </c>
      <c r="K858" s="15">
        <f>INDEX(数值规划表!$B$15:$B$18,MATCH(J858,攻击范围,0))</f>
        <v>1</v>
      </c>
      <c r="L858" s="30">
        <v>1</v>
      </c>
      <c r="M858" s="41">
        <v>0</v>
      </c>
      <c r="N858" s="15">
        <f t="shared" si="47"/>
        <v>503</v>
      </c>
      <c r="O858" s="15">
        <f t="shared" si="48"/>
        <v>15.09</v>
      </c>
      <c r="P858" s="15">
        <f>IF(G858,INDEX(monster!$J$2:$J$606,MATCH(skill!C858,monster!$A$2:$A$606,0)),Q858)</f>
        <v>1.2</v>
      </c>
      <c r="Q858" s="70"/>
      <c r="R858" s="33">
        <v>120</v>
      </c>
    </row>
    <row r="859" spans="1:18" s="38" customFormat="1" x14ac:dyDescent="0.15">
      <c r="A859" s="32">
        <v>10903</v>
      </c>
      <c r="B859" s="32" t="s">
        <v>1174</v>
      </c>
      <c r="C859" s="31">
        <v>1482</v>
      </c>
      <c r="D859" s="32">
        <v>10</v>
      </c>
      <c r="E859" s="15">
        <f>INDEX(monster!$H$2:$H$617,MATCH(skill!C859,monster!$A$2:$A$617,0))</f>
        <v>434.69</v>
      </c>
      <c r="F859" s="15">
        <f>INDEX(monster!$I$2:$I$617,MATCH(C859,monster!$A$2:$A$617,0))</f>
        <v>13.04</v>
      </c>
      <c r="G859" s="15" t="b">
        <f t="shared" si="46"/>
        <v>1</v>
      </c>
      <c r="H859" s="31">
        <v>1</v>
      </c>
      <c r="I859" s="15">
        <f>IF(H859&gt;0,HLOOKUP(R859/100,数值规划表!$B$37:$AA$39,3),1)</f>
        <v>1.296</v>
      </c>
      <c r="J859" s="31" t="s">
        <v>1625</v>
      </c>
      <c r="K859" s="15">
        <f>INDEX(数值规划表!$B$15:$B$18,MATCH(J859,攻击范围,0))</f>
        <v>1</v>
      </c>
      <c r="L859" s="30">
        <v>1</v>
      </c>
      <c r="M859" s="41">
        <v>0</v>
      </c>
      <c r="N859" s="15">
        <f t="shared" si="47"/>
        <v>563</v>
      </c>
      <c r="O859" s="15">
        <f t="shared" si="48"/>
        <v>16.899999999999999</v>
      </c>
      <c r="P859" s="15">
        <f>IF(G859,INDEX(monster!$J$2:$J$606,MATCH(skill!C859,monster!$A$2:$A$606,0)),Q859)</f>
        <v>1.2</v>
      </c>
      <c r="Q859" s="70"/>
      <c r="R859" s="33">
        <v>120</v>
      </c>
    </row>
    <row r="860" spans="1:18" s="38" customFormat="1" x14ac:dyDescent="0.15">
      <c r="A860" s="32">
        <v>10904</v>
      </c>
      <c r="B860" s="32" t="s">
        <v>1565</v>
      </c>
      <c r="C860" s="31">
        <v>1472</v>
      </c>
      <c r="D860" s="32">
        <v>0</v>
      </c>
      <c r="E860" s="15">
        <f>INDEX(monster!$H$2:$H$617,MATCH(skill!C860,monster!$A$2:$A$617,0))</f>
        <v>139.96</v>
      </c>
      <c r="F860" s="15">
        <f>INDEX(monster!$I$2:$I$617,MATCH(C860,monster!$A$2:$A$617,0))</f>
        <v>4.2</v>
      </c>
      <c r="G860" s="15" t="b">
        <f t="shared" si="46"/>
        <v>0</v>
      </c>
      <c r="H860" s="31">
        <v>0</v>
      </c>
      <c r="I860" s="15">
        <f>IF(H860&gt;0,HLOOKUP(R860/100,数值规划表!$B$37:$AA$39,3),1)</f>
        <v>1</v>
      </c>
      <c r="J860" s="31" t="s">
        <v>1627</v>
      </c>
      <c r="K860" s="15">
        <f>INDEX(数值规划表!$B$15:$B$18,MATCH(J860,攻击范围,0))</f>
        <v>0.7</v>
      </c>
      <c r="L860" s="30">
        <v>1</v>
      </c>
      <c r="M860" s="41">
        <v>0</v>
      </c>
      <c r="N860" s="15">
        <f t="shared" si="47"/>
        <v>98</v>
      </c>
      <c r="O860" s="15">
        <f t="shared" si="48"/>
        <v>2.94</v>
      </c>
      <c r="P860" s="15">
        <f>IF(G860,INDEX(monster!$J$2:$J$606,MATCH(skill!C860,monster!$A$2:$A$606,0)),Q860)</f>
        <v>0</v>
      </c>
      <c r="Q860" s="70"/>
      <c r="R860" s="33">
        <v>350</v>
      </c>
    </row>
    <row r="861" spans="1:18" s="38" customFormat="1" x14ac:dyDescent="0.15">
      <c r="A861" s="32">
        <v>10905</v>
      </c>
      <c r="B861" s="32" t="s">
        <v>1566</v>
      </c>
      <c r="C861" s="31">
        <v>1473</v>
      </c>
      <c r="D861" s="32">
        <v>1</v>
      </c>
      <c r="E861" s="15">
        <f>INDEX(monster!$H$2:$H$617,MATCH(skill!C861,monster!$A$2:$A$617,0))</f>
        <v>156.76</v>
      </c>
      <c r="F861" s="15">
        <f>INDEX(monster!$I$2:$I$617,MATCH(C861,monster!$A$2:$A$617,0))</f>
        <v>4.7</v>
      </c>
      <c r="G861" s="15" t="b">
        <f t="shared" ref="G861:G924" si="49">ISNUMBER(FIND("普攻",B861))</f>
        <v>0</v>
      </c>
      <c r="H861" s="31">
        <v>0</v>
      </c>
      <c r="I861" s="15">
        <f>IF(H861&gt;0,HLOOKUP(R861/100,数值规划表!$B$37:$AA$39,3),1)</f>
        <v>1</v>
      </c>
      <c r="J861" s="31" t="s">
        <v>1627</v>
      </c>
      <c r="K861" s="15">
        <f>INDEX(数值规划表!$B$15:$B$18,MATCH(J861,攻击范围,0))</f>
        <v>0.7</v>
      </c>
      <c r="L861" s="30">
        <v>1</v>
      </c>
      <c r="M861" s="41">
        <v>0</v>
      </c>
      <c r="N861" s="15">
        <f t="shared" si="47"/>
        <v>110</v>
      </c>
      <c r="O861" s="15">
        <f t="shared" si="48"/>
        <v>3.29</v>
      </c>
      <c r="P861" s="15">
        <f>IF(G861,INDEX(monster!$J$2:$J$606,MATCH(skill!C861,monster!$A$2:$A$606,0)),Q861)</f>
        <v>0</v>
      </c>
      <c r="Q861" s="70"/>
      <c r="R861" s="33">
        <v>350</v>
      </c>
    </row>
    <row r="862" spans="1:18" s="38" customFormat="1" x14ac:dyDescent="0.15">
      <c r="A862" s="32">
        <v>10906</v>
      </c>
      <c r="B862" s="32" t="s">
        <v>1175</v>
      </c>
      <c r="C862" s="31">
        <v>1474</v>
      </c>
      <c r="D862" s="32">
        <v>2</v>
      </c>
      <c r="E862" s="15">
        <f>INDEX(monster!$H$2:$H$617,MATCH(skill!C862,monster!$A$2:$A$617,0))</f>
        <v>175.57</v>
      </c>
      <c r="F862" s="15">
        <f>INDEX(monster!$I$2:$I$617,MATCH(C862,monster!$A$2:$A$617,0))</f>
        <v>5.27</v>
      </c>
      <c r="G862" s="15" t="b">
        <f t="shared" si="49"/>
        <v>0</v>
      </c>
      <c r="H862" s="31">
        <v>0</v>
      </c>
      <c r="I862" s="15">
        <f>IF(H862&gt;0,HLOOKUP(R862/100,数值规划表!$B$37:$AA$39,3),1)</f>
        <v>1</v>
      </c>
      <c r="J862" s="31" t="s">
        <v>1627</v>
      </c>
      <c r="K862" s="15">
        <f>INDEX(数值规划表!$B$15:$B$18,MATCH(J862,攻击范围,0))</f>
        <v>0.7</v>
      </c>
      <c r="L862" s="30">
        <v>1</v>
      </c>
      <c r="M862" s="41">
        <v>0</v>
      </c>
      <c r="N862" s="15">
        <f t="shared" si="47"/>
        <v>123</v>
      </c>
      <c r="O862" s="15">
        <f t="shared" si="48"/>
        <v>3.69</v>
      </c>
      <c r="P862" s="15">
        <f>IF(G862,INDEX(monster!$J$2:$J$606,MATCH(skill!C862,monster!$A$2:$A$606,0)),Q862)</f>
        <v>0</v>
      </c>
      <c r="Q862" s="70"/>
      <c r="R862" s="33">
        <v>350</v>
      </c>
    </row>
    <row r="863" spans="1:18" s="38" customFormat="1" x14ac:dyDescent="0.15">
      <c r="A863" s="32">
        <v>10907</v>
      </c>
      <c r="B863" s="32" t="s">
        <v>1176</v>
      </c>
      <c r="C863" s="31">
        <v>1475</v>
      </c>
      <c r="D863" s="32">
        <v>3</v>
      </c>
      <c r="E863" s="15">
        <f>INDEX(monster!$H$2:$H$617,MATCH(skill!C863,monster!$A$2:$A$617,0))</f>
        <v>196.63</v>
      </c>
      <c r="F863" s="15">
        <f>INDEX(monster!$I$2:$I$617,MATCH(C863,monster!$A$2:$A$617,0))</f>
        <v>5.9</v>
      </c>
      <c r="G863" s="15" t="b">
        <f t="shared" si="49"/>
        <v>0</v>
      </c>
      <c r="H863" s="31">
        <v>0</v>
      </c>
      <c r="I863" s="15">
        <f>IF(H863&gt;0,HLOOKUP(R863/100,数值规划表!$B$37:$AA$39,3),1)</f>
        <v>1</v>
      </c>
      <c r="J863" s="31" t="s">
        <v>1627</v>
      </c>
      <c r="K863" s="15">
        <f>INDEX(数值规划表!$B$15:$B$18,MATCH(J863,攻击范围,0))</f>
        <v>0.7</v>
      </c>
      <c r="L863" s="30">
        <v>1</v>
      </c>
      <c r="M863" s="41">
        <v>0</v>
      </c>
      <c r="N863" s="15">
        <f t="shared" si="47"/>
        <v>138</v>
      </c>
      <c r="O863" s="15">
        <f t="shared" si="48"/>
        <v>4.13</v>
      </c>
      <c r="P863" s="15">
        <f>IF(G863,INDEX(monster!$J$2:$J$606,MATCH(skill!C863,monster!$A$2:$A$606,0)),Q863)</f>
        <v>0</v>
      </c>
      <c r="Q863" s="70"/>
      <c r="R863" s="33">
        <v>350</v>
      </c>
    </row>
    <row r="864" spans="1:18" s="38" customFormat="1" x14ac:dyDescent="0.15">
      <c r="A864" s="32">
        <v>10908</v>
      </c>
      <c r="B864" s="32" t="s">
        <v>1177</v>
      </c>
      <c r="C864" s="31">
        <v>1476</v>
      </c>
      <c r="D864" s="32">
        <v>4</v>
      </c>
      <c r="E864" s="15">
        <f>INDEX(monster!$H$2:$H$617,MATCH(skill!C864,monster!$A$2:$A$617,0))</f>
        <v>220.23</v>
      </c>
      <c r="F864" s="15">
        <f>INDEX(monster!$I$2:$I$617,MATCH(C864,monster!$A$2:$A$617,0))</f>
        <v>6.61</v>
      </c>
      <c r="G864" s="15" t="b">
        <f t="shared" si="49"/>
        <v>0</v>
      </c>
      <c r="H864" s="31">
        <v>0</v>
      </c>
      <c r="I864" s="15">
        <f>IF(H864&gt;0,HLOOKUP(R864/100,数值规划表!$B$37:$AA$39,3),1)</f>
        <v>1</v>
      </c>
      <c r="J864" s="31" t="s">
        <v>1627</v>
      </c>
      <c r="K864" s="15">
        <f>INDEX(数值规划表!$B$15:$B$18,MATCH(J864,攻击范围,0))</f>
        <v>0.7</v>
      </c>
      <c r="L864" s="30">
        <v>1</v>
      </c>
      <c r="M864" s="41">
        <v>0</v>
      </c>
      <c r="N864" s="15">
        <f t="shared" si="47"/>
        <v>154</v>
      </c>
      <c r="O864" s="15">
        <f t="shared" si="48"/>
        <v>4.63</v>
      </c>
      <c r="P864" s="15">
        <f>IF(G864,INDEX(monster!$J$2:$J$606,MATCH(skill!C864,monster!$A$2:$A$606,0)),Q864)</f>
        <v>0</v>
      </c>
      <c r="Q864" s="70"/>
      <c r="R864" s="33">
        <v>350</v>
      </c>
    </row>
    <row r="865" spans="1:18" s="38" customFormat="1" x14ac:dyDescent="0.15">
      <c r="A865" s="32">
        <v>10909</v>
      </c>
      <c r="B865" s="32" t="s">
        <v>1178</v>
      </c>
      <c r="C865" s="31">
        <v>1477</v>
      </c>
      <c r="D865" s="32">
        <v>5</v>
      </c>
      <c r="E865" s="15">
        <f>INDEX(monster!$H$2:$H$617,MATCH(skill!C865,monster!$A$2:$A$617,0))</f>
        <v>246.66</v>
      </c>
      <c r="F865" s="15">
        <f>INDEX(monster!$I$2:$I$617,MATCH(C865,monster!$A$2:$A$617,0))</f>
        <v>7.4</v>
      </c>
      <c r="G865" s="15" t="b">
        <f t="shared" si="49"/>
        <v>0</v>
      </c>
      <c r="H865" s="31">
        <v>0</v>
      </c>
      <c r="I865" s="15">
        <f>IF(H865&gt;0,HLOOKUP(R865/100,数值规划表!$B$37:$AA$39,3),1)</f>
        <v>1</v>
      </c>
      <c r="J865" s="31" t="s">
        <v>1627</v>
      </c>
      <c r="K865" s="15">
        <f>INDEX(数值规划表!$B$15:$B$18,MATCH(J865,攻击范围,0))</f>
        <v>0.7</v>
      </c>
      <c r="L865" s="30">
        <v>1</v>
      </c>
      <c r="M865" s="41">
        <v>0</v>
      </c>
      <c r="N865" s="15">
        <f t="shared" si="47"/>
        <v>173</v>
      </c>
      <c r="O865" s="15">
        <f t="shared" si="48"/>
        <v>5.18</v>
      </c>
      <c r="P865" s="15">
        <f>IF(G865,INDEX(monster!$J$2:$J$606,MATCH(skill!C865,monster!$A$2:$A$606,0)),Q865)</f>
        <v>0</v>
      </c>
      <c r="Q865" s="70"/>
      <c r="R865" s="33">
        <v>350</v>
      </c>
    </row>
    <row r="866" spans="1:18" s="38" customFormat="1" x14ac:dyDescent="0.15">
      <c r="A866" s="32">
        <v>10910</v>
      </c>
      <c r="B866" s="32" t="s">
        <v>1179</v>
      </c>
      <c r="C866" s="31">
        <v>1478</v>
      </c>
      <c r="D866" s="32">
        <v>6</v>
      </c>
      <c r="E866" s="15">
        <f>INDEX(monster!$H$2:$H$617,MATCH(skill!C866,monster!$A$2:$A$617,0))</f>
        <v>276.26</v>
      </c>
      <c r="F866" s="15">
        <f>INDEX(monster!$I$2:$I$617,MATCH(C866,monster!$A$2:$A$617,0))</f>
        <v>8.2899999999999991</v>
      </c>
      <c r="G866" s="15" t="b">
        <f t="shared" si="49"/>
        <v>0</v>
      </c>
      <c r="H866" s="31">
        <v>0</v>
      </c>
      <c r="I866" s="15">
        <f>IF(H866&gt;0,HLOOKUP(R866/100,数值规划表!$B$37:$AA$39,3),1)</f>
        <v>1</v>
      </c>
      <c r="J866" s="31" t="s">
        <v>1627</v>
      </c>
      <c r="K866" s="15">
        <f>INDEX(数值规划表!$B$15:$B$18,MATCH(J866,攻击范围,0))</f>
        <v>0.7</v>
      </c>
      <c r="L866" s="30">
        <v>1</v>
      </c>
      <c r="M866" s="41">
        <v>0</v>
      </c>
      <c r="N866" s="15">
        <f t="shared" si="47"/>
        <v>193</v>
      </c>
      <c r="O866" s="15">
        <f t="shared" si="48"/>
        <v>5.8</v>
      </c>
      <c r="P866" s="15">
        <f>IF(G866,INDEX(monster!$J$2:$J$606,MATCH(skill!C866,monster!$A$2:$A$606,0)),Q866)</f>
        <v>0</v>
      </c>
      <c r="Q866" s="70"/>
      <c r="R866" s="33">
        <v>350</v>
      </c>
    </row>
    <row r="867" spans="1:18" s="38" customFormat="1" x14ac:dyDescent="0.15">
      <c r="A867" s="32">
        <v>10911</v>
      </c>
      <c r="B867" s="32" t="s">
        <v>1180</v>
      </c>
      <c r="C867" s="31">
        <v>1479</v>
      </c>
      <c r="D867" s="32">
        <v>7</v>
      </c>
      <c r="E867" s="15">
        <f>INDEX(monster!$H$2:$H$617,MATCH(skill!C867,monster!$A$2:$A$617,0))</f>
        <v>309.41000000000003</v>
      </c>
      <c r="F867" s="15">
        <f>INDEX(monster!$I$2:$I$617,MATCH(C867,monster!$A$2:$A$617,0))</f>
        <v>9.2799999999999994</v>
      </c>
      <c r="G867" s="15" t="b">
        <f t="shared" si="49"/>
        <v>0</v>
      </c>
      <c r="H867" s="31">
        <v>0</v>
      </c>
      <c r="I867" s="15">
        <f>IF(H867&gt;0,HLOOKUP(R867/100,数值规划表!$B$37:$AA$39,3),1)</f>
        <v>1</v>
      </c>
      <c r="J867" s="31" t="s">
        <v>1627</v>
      </c>
      <c r="K867" s="15">
        <f>INDEX(数值规划表!$B$15:$B$18,MATCH(J867,攻击范围,0))</f>
        <v>0.7</v>
      </c>
      <c r="L867" s="30">
        <v>1</v>
      </c>
      <c r="M867" s="41">
        <v>0</v>
      </c>
      <c r="N867" s="15">
        <f t="shared" si="47"/>
        <v>217</v>
      </c>
      <c r="O867" s="15">
        <f t="shared" si="48"/>
        <v>6.5</v>
      </c>
      <c r="P867" s="15">
        <f>IF(G867,INDEX(monster!$J$2:$J$606,MATCH(skill!C867,monster!$A$2:$A$606,0)),Q867)</f>
        <v>0</v>
      </c>
      <c r="Q867" s="70"/>
      <c r="R867" s="33">
        <v>350</v>
      </c>
    </row>
    <row r="868" spans="1:18" s="38" customFormat="1" x14ac:dyDescent="0.15">
      <c r="A868" s="32">
        <v>10912</v>
      </c>
      <c r="B868" s="32" t="s">
        <v>1181</v>
      </c>
      <c r="C868" s="31">
        <v>1480</v>
      </c>
      <c r="D868" s="32">
        <v>8</v>
      </c>
      <c r="E868" s="15">
        <f>INDEX(monster!$H$2:$H$617,MATCH(skill!C868,monster!$A$2:$A$617,0))</f>
        <v>346.54</v>
      </c>
      <c r="F868" s="15">
        <f>INDEX(monster!$I$2:$I$617,MATCH(C868,monster!$A$2:$A$617,0))</f>
        <v>10.4</v>
      </c>
      <c r="G868" s="15" t="b">
        <f t="shared" si="49"/>
        <v>0</v>
      </c>
      <c r="H868" s="31">
        <v>0</v>
      </c>
      <c r="I868" s="15">
        <f>IF(H868&gt;0,HLOOKUP(R868/100,数值规划表!$B$37:$AA$39,3),1)</f>
        <v>1</v>
      </c>
      <c r="J868" s="31" t="s">
        <v>1627</v>
      </c>
      <c r="K868" s="15">
        <f>INDEX(数值规划表!$B$15:$B$18,MATCH(J868,攻击范围,0))</f>
        <v>0.7</v>
      </c>
      <c r="L868" s="30">
        <v>1</v>
      </c>
      <c r="M868" s="41">
        <v>0</v>
      </c>
      <c r="N868" s="15">
        <f t="shared" si="47"/>
        <v>243</v>
      </c>
      <c r="O868" s="15">
        <f t="shared" si="48"/>
        <v>7.28</v>
      </c>
      <c r="P868" s="15">
        <f>IF(G868,INDEX(monster!$J$2:$J$606,MATCH(skill!C868,monster!$A$2:$A$606,0)),Q868)</f>
        <v>0</v>
      </c>
      <c r="Q868" s="70"/>
      <c r="R868" s="33">
        <v>350</v>
      </c>
    </row>
    <row r="869" spans="1:18" s="38" customFormat="1" x14ac:dyDescent="0.15">
      <c r="A869" s="32">
        <v>10913</v>
      </c>
      <c r="B869" s="32" t="s">
        <v>1182</v>
      </c>
      <c r="C869" s="31">
        <v>1481</v>
      </c>
      <c r="D869" s="32">
        <v>9</v>
      </c>
      <c r="E869" s="15">
        <f>INDEX(monster!$H$2:$H$617,MATCH(skill!C869,monster!$A$2:$A$617,0))</f>
        <v>388.12</v>
      </c>
      <c r="F869" s="15">
        <f>INDEX(monster!$I$2:$I$617,MATCH(C869,monster!$A$2:$A$617,0))</f>
        <v>11.64</v>
      </c>
      <c r="G869" s="15" t="b">
        <f t="shared" si="49"/>
        <v>0</v>
      </c>
      <c r="H869" s="31">
        <v>0</v>
      </c>
      <c r="I869" s="15">
        <f>IF(H869&gt;0,HLOOKUP(R869/100,数值规划表!$B$37:$AA$39,3),1)</f>
        <v>1</v>
      </c>
      <c r="J869" s="31" t="s">
        <v>1627</v>
      </c>
      <c r="K869" s="15">
        <f>INDEX(数值规划表!$B$15:$B$18,MATCH(J869,攻击范围,0))</f>
        <v>0.7</v>
      </c>
      <c r="L869" s="30">
        <v>1</v>
      </c>
      <c r="M869" s="41">
        <v>0</v>
      </c>
      <c r="N869" s="15">
        <f t="shared" si="47"/>
        <v>272</v>
      </c>
      <c r="O869" s="15">
        <f t="shared" si="48"/>
        <v>8.15</v>
      </c>
      <c r="P869" s="15">
        <f>IF(G869,INDEX(monster!$J$2:$J$606,MATCH(skill!C869,monster!$A$2:$A$606,0)),Q869)</f>
        <v>0</v>
      </c>
      <c r="Q869" s="70"/>
      <c r="R869" s="33">
        <v>350</v>
      </c>
    </row>
    <row r="870" spans="1:18" s="38" customFormat="1" x14ac:dyDescent="0.15">
      <c r="A870" s="32">
        <v>10914</v>
      </c>
      <c r="B870" s="32" t="s">
        <v>1183</v>
      </c>
      <c r="C870" s="31">
        <v>1482</v>
      </c>
      <c r="D870" s="32">
        <v>10</v>
      </c>
      <c r="E870" s="15">
        <f>INDEX(monster!$H$2:$H$617,MATCH(skill!C870,monster!$A$2:$A$617,0))</f>
        <v>434.69</v>
      </c>
      <c r="F870" s="15">
        <f>INDEX(monster!$I$2:$I$617,MATCH(C870,monster!$A$2:$A$617,0))</f>
        <v>13.04</v>
      </c>
      <c r="G870" s="15" t="b">
        <f t="shared" si="49"/>
        <v>0</v>
      </c>
      <c r="H870" s="31">
        <v>0</v>
      </c>
      <c r="I870" s="15">
        <f>IF(H870&gt;0,HLOOKUP(R870/100,数值规划表!$B$37:$AA$39,3),1)</f>
        <v>1</v>
      </c>
      <c r="J870" s="31" t="s">
        <v>1627</v>
      </c>
      <c r="K870" s="15">
        <f>INDEX(数值规划表!$B$15:$B$18,MATCH(J870,攻击范围,0))</f>
        <v>0.7</v>
      </c>
      <c r="L870" s="30">
        <v>1</v>
      </c>
      <c r="M870" s="41">
        <v>0</v>
      </c>
      <c r="N870" s="15">
        <f t="shared" si="47"/>
        <v>304</v>
      </c>
      <c r="O870" s="15">
        <f t="shared" si="48"/>
        <v>9.1300000000000008</v>
      </c>
      <c r="P870" s="15">
        <f>IF(G870,INDEX(monster!$J$2:$J$606,MATCH(skill!C870,monster!$A$2:$A$606,0)),Q870)</f>
        <v>0</v>
      </c>
      <c r="Q870" s="70"/>
      <c r="R870" s="33">
        <v>350</v>
      </c>
    </row>
    <row r="871" spans="1:18" s="38" customFormat="1" x14ac:dyDescent="0.15">
      <c r="A871" s="32">
        <v>10915</v>
      </c>
      <c r="B871" s="32" t="s">
        <v>1567</v>
      </c>
      <c r="C871" s="31">
        <v>1484</v>
      </c>
      <c r="D871" s="32">
        <v>0</v>
      </c>
      <c r="E871" s="15">
        <f>INDEX(monster!$H$2:$H$617,MATCH(skill!C871,monster!$A$2:$A$617,0))</f>
        <v>30.07</v>
      </c>
      <c r="F871" s="15">
        <f>INDEX(monster!$I$2:$I$617,MATCH(C871,monster!$A$2:$A$617,0))</f>
        <v>0.9</v>
      </c>
      <c r="G871" s="15" t="b">
        <f t="shared" si="49"/>
        <v>1</v>
      </c>
      <c r="H871" s="31">
        <v>1</v>
      </c>
      <c r="I871" s="15">
        <f>IF(H871&gt;0,HLOOKUP(R871/100,数值规划表!$B$37:$AA$39,3),1)</f>
        <v>1</v>
      </c>
      <c r="J871" s="31" t="s">
        <v>1625</v>
      </c>
      <c r="K871" s="15">
        <f>INDEX(数值规划表!$B$15:$B$18,MATCH(J871,攻击范围,0))</f>
        <v>1</v>
      </c>
      <c r="L871" s="30">
        <v>1</v>
      </c>
      <c r="M871" s="41">
        <v>0</v>
      </c>
      <c r="N871" s="15">
        <f t="shared" si="47"/>
        <v>30</v>
      </c>
      <c r="O871" s="15">
        <f t="shared" si="48"/>
        <v>0.9</v>
      </c>
      <c r="P871" s="15">
        <f>IF(G871,INDEX(monster!$J$2:$J$606,MATCH(skill!C871,monster!$A$2:$A$606,0)),Q871)</f>
        <v>1.2</v>
      </c>
      <c r="Q871" s="70"/>
      <c r="R871" s="33">
        <v>100</v>
      </c>
    </row>
    <row r="872" spans="1:18" s="38" customFormat="1" x14ac:dyDescent="0.15">
      <c r="A872" s="32">
        <v>10916</v>
      </c>
      <c r="B872" s="32" t="s">
        <v>1568</v>
      </c>
      <c r="C872" s="31">
        <v>1485</v>
      </c>
      <c r="D872" s="32">
        <v>1</v>
      </c>
      <c r="E872" s="15">
        <f>INDEX(monster!$H$2:$H$617,MATCH(skill!C872,monster!$A$2:$A$617,0))</f>
        <v>33.68</v>
      </c>
      <c r="F872" s="15">
        <f>INDEX(monster!$I$2:$I$617,MATCH(C872,monster!$A$2:$A$617,0))</f>
        <v>1.01</v>
      </c>
      <c r="G872" s="15" t="b">
        <f t="shared" si="49"/>
        <v>1</v>
      </c>
      <c r="H872" s="31">
        <v>1</v>
      </c>
      <c r="I872" s="15">
        <f>IF(H872&gt;0,HLOOKUP(R872/100,数值规划表!$B$37:$AA$39,3),1)</f>
        <v>1</v>
      </c>
      <c r="J872" s="31" t="s">
        <v>1625</v>
      </c>
      <c r="K872" s="15">
        <f>INDEX(数值规划表!$B$15:$B$18,MATCH(J872,攻击范围,0))</f>
        <v>1</v>
      </c>
      <c r="L872" s="30">
        <v>1</v>
      </c>
      <c r="M872" s="41">
        <v>0</v>
      </c>
      <c r="N872" s="15">
        <f t="shared" si="47"/>
        <v>34</v>
      </c>
      <c r="O872" s="15">
        <f t="shared" si="48"/>
        <v>1.01</v>
      </c>
      <c r="P872" s="15">
        <f>IF(G872,INDEX(monster!$J$2:$J$606,MATCH(skill!C872,monster!$A$2:$A$606,0)),Q872)</f>
        <v>1.2</v>
      </c>
      <c r="Q872" s="70"/>
      <c r="R872" s="33">
        <v>100</v>
      </c>
    </row>
    <row r="873" spans="1:18" s="38" customFormat="1" x14ac:dyDescent="0.15">
      <c r="A873" s="32">
        <v>10917</v>
      </c>
      <c r="B873" s="32" t="s">
        <v>1184</v>
      </c>
      <c r="C873" s="31">
        <v>1486</v>
      </c>
      <c r="D873" s="32">
        <v>2</v>
      </c>
      <c r="E873" s="15">
        <f>INDEX(monster!$H$2:$H$617,MATCH(skill!C873,monster!$A$2:$A$617,0))</f>
        <v>37.72</v>
      </c>
      <c r="F873" s="15">
        <f>INDEX(monster!$I$2:$I$617,MATCH(C873,monster!$A$2:$A$617,0))</f>
        <v>1.1299999999999999</v>
      </c>
      <c r="G873" s="15" t="b">
        <f t="shared" si="49"/>
        <v>1</v>
      </c>
      <c r="H873" s="31">
        <v>1</v>
      </c>
      <c r="I873" s="15">
        <f>IF(H873&gt;0,HLOOKUP(R873/100,数值规划表!$B$37:$AA$39,3),1)</f>
        <v>1</v>
      </c>
      <c r="J873" s="31" t="s">
        <v>1625</v>
      </c>
      <c r="K873" s="15">
        <f>INDEX(数值规划表!$B$15:$B$18,MATCH(J873,攻击范围,0))</f>
        <v>1</v>
      </c>
      <c r="L873" s="30">
        <v>1</v>
      </c>
      <c r="M873" s="41">
        <v>0</v>
      </c>
      <c r="N873" s="15">
        <f t="shared" si="47"/>
        <v>38</v>
      </c>
      <c r="O873" s="15">
        <f t="shared" si="48"/>
        <v>1.1299999999999999</v>
      </c>
      <c r="P873" s="15">
        <f>IF(G873,INDEX(monster!$J$2:$J$606,MATCH(skill!C873,monster!$A$2:$A$606,0)),Q873)</f>
        <v>1.2</v>
      </c>
      <c r="Q873" s="70"/>
      <c r="R873" s="33">
        <v>100</v>
      </c>
    </row>
    <row r="874" spans="1:18" s="38" customFormat="1" x14ac:dyDescent="0.15">
      <c r="A874" s="32">
        <v>10918</v>
      </c>
      <c r="B874" s="32" t="s">
        <v>1185</v>
      </c>
      <c r="C874" s="31">
        <v>1487</v>
      </c>
      <c r="D874" s="32">
        <v>3</v>
      </c>
      <c r="E874" s="15">
        <f>INDEX(monster!$H$2:$H$617,MATCH(skill!C874,monster!$A$2:$A$617,0))</f>
        <v>42.25</v>
      </c>
      <c r="F874" s="15">
        <f>INDEX(monster!$I$2:$I$617,MATCH(C874,monster!$A$2:$A$617,0))</f>
        <v>1.27</v>
      </c>
      <c r="G874" s="15" t="b">
        <f t="shared" si="49"/>
        <v>1</v>
      </c>
      <c r="H874" s="31">
        <v>1</v>
      </c>
      <c r="I874" s="15">
        <f>IF(H874&gt;0,HLOOKUP(R874/100,数值规划表!$B$37:$AA$39,3),1)</f>
        <v>1</v>
      </c>
      <c r="J874" s="31" t="s">
        <v>1625</v>
      </c>
      <c r="K874" s="15">
        <f>INDEX(数值规划表!$B$15:$B$18,MATCH(J874,攻击范围,0))</f>
        <v>1</v>
      </c>
      <c r="L874" s="30">
        <v>1</v>
      </c>
      <c r="M874" s="41">
        <v>0</v>
      </c>
      <c r="N874" s="15">
        <f t="shared" si="47"/>
        <v>42</v>
      </c>
      <c r="O874" s="15">
        <f t="shared" si="48"/>
        <v>1.27</v>
      </c>
      <c r="P874" s="15">
        <f>IF(G874,INDEX(monster!$J$2:$J$606,MATCH(skill!C874,monster!$A$2:$A$606,0)),Q874)</f>
        <v>1.2</v>
      </c>
      <c r="Q874" s="70"/>
      <c r="R874" s="33">
        <v>100</v>
      </c>
    </row>
    <row r="875" spans="1:18" s="38" customFormat="1" x14ac:dyDescent="0.15">
      <c r="A875" s="32">
        <v>10919</v>
      </c>
      <c r="B875" s="32" t="s">
        <v>1186</v>
      </c>
      <c r="C875" s="31">
        <v>1488</v>
      </c>
      <c r="D875" s="32">
        <v>4</v>
      </c>
      <c r="E875" s="15">
        <f>INDEX(monster!$H$2:$H$617,MATCH(skill!C875,monster!$A$2:$A$617,0))</f>
        <v>47.32</v>
      </c>
      <c r="F875" s="15">
        <f>INDEX(monster!$I$2:$I$617,MATCH(C875,monster!$A$2:$A$617,0))</f>
        <v>1.42</v>
      </c>
      <c r="G875" s="15" t="b">
        <f t="shared" si="49"/>
        <v>1</v>
      </c>
      <c r="H875" s="31">
        <v>1</v>
      </c>
      <c r="I875" s="15">
        <f>IF(H875&gt;0,HLOOKUP(R875/100,数值规划表!$B$37:$AA$39,3),1)</f>
        <v>1</v>
      </c>
      <c r="J875" s="31" t="s">
        <v>1625</v>
      </c>
      <c r="K875" s="15">
        <f>INDEX(数值规划表!$B$15:$B$18,MATCH(J875,攻击范围,0))</f>
        <v>1</v>
      </c>
      <c r="L875" s="30">
        <v>1</v>
      </c>
      <c r="M875" s="41">
        <v>0</v>
      </c>
      <c r="N875" s="15">
        <f t="shared" si="47"/>
        <v>47</v>
      </c>
      <c r="O875" s="15">
        <f t="shared" si="48"/>
        <v>1.42</v>
      </c>
      <c r="P875" s="15">
        <f>IF(G875,INDEX(monster!$J$2:$J$606,MATCH(skill!C875,monster!$A$2:$A$606,0)),Q875)</f>
        <v>1.2</v>
      </c>
      <c r="Q875" s="70"/>
      <c r="R875" s="33">
        <v>100</v>
      </c>
    </row>
    <row r="876" spans="1:18" s="38" customFormat="1" x14ac:dyDescent="0.15">
      <c r="A876" s="32">
        <v>10920</v>
      </c>
      <c r="B876" s="32" t="s">
        <v>1187</v>
      </c>
      <c r="C876" s="31">
        <v>1489</v>
      </c>
      <c r="D876" s="32">
        <v>5</v>
      </c>
      <c r="E876" s="15">
        <f>INDEX(monster!$H$2:$H$617,MATCH(skill!C876,monster!$A$2:$A$617,0))</f>
        <v>52.99</v>
      </c>
      <c r="F876" s="15">
        <f>INDEX(monster!$I$2:$I$617,MATCH(C876,monster!$A$2:$A$617,0))</f>
        <v>1.59</v>
      </c>
      <c r="G876" s="15" t="b">
        <f t="shared" si="49"/>
        <v>1</v>
      </c>
      <c r="H876" s="31">
        <v>1</v>
      </c>
      <c r="I876" s="15">
        <f>IF(H876&gt;0,HLOOKUP(R876/100,数值规划表!$B$37:$AA$39,3),1)</f>
        <v>1</v>
      </c>
      <c r="J876" s="31" t="s">
        <v>1625</v>
      </c>
      <c r="K876" s="15">
        <f>INDEX(数值规划表!$B$15:$B$18,MATCH(J876,攻击范围,0))</f>
        <v>1</v>
      </c>
      <c r="L876" s="30">
        <v>1</v>
      </c>
      <c r="M876" s="41">
        <v>0</v>
      </c>
      <c r="N876" s="15">
        <f t="shared" si="47"/>
        <v>53</v>
      </c>
      <c r="O876" s="15">
        <f t="shared" si="48"/>
        <v>1.59</v>
      </c>
      <c r="P876" s="15">
        <f>IF(G876,INDEX(monster!$J$2:$J$606,MATCH(skill!C876,monster!$A$2:$A$606,0)),Q876)</f>
        <v>1.2</v>
      </c>
      <c r="Q876" s="70"/>
      <c r="R876" s="33">
        <v>100</v>
      </c>
    </row>
    <row r="877" spans="1:18" s="38" customFormat="1" x14ac:dyDescent="0.15">
      <c r="A877" s="32">
        <v>10921</v>
      </c>
      <c r="B877" s="32" t="s">
        <v>1188</v>
      </c>
      <c r="C877" s="31">
        <v>1490</v>
      </c>
      <c r="D877" s="32">
        <v>6</v>
      </c>
      <c r="E877" s="15">
        <f>INDEX(monster!$H$2:$H$617,MATCH(skill!C877,monster!$A$2:$A$617,0))</f>
        <v>59.35</v>
      </c>
      <c r="F877" s="15">
        <f>INDEX(monster!$I$2:$I$617,MATCH(C877,monster!$A$2:$A$617,0))</f>
        <v>1.78</v>
      </c>
      <c r="G877" s="15" t="b">
        <f t="shared" si="49"/>
        <v>1</v>
      </c>
      <c r="H877" s="31">
        <v>1</v>
      </c>
      <c r="I877" s="15">
        <f>IF(H877&gt;0,HLOOKUP(R877/100,数值规划表!$B$37:$AA$39,3),1)</f>
        <v>1</v>
      </c>
      <c r="J877" s="31" t="s">
        <v>1625</v>
      </c>
      <c r="K877" s="15">
        <f>INDEX(数值规划表!$B$15:$B$18,MATCH(J877,攻击范围,0))</f>
        <v>1</v>
      </c>
      <c r="L877" s="30">
        <v>1</v>
      </c>
      <c r="M877" s="41">
        <v>0</v>
      </c>
      <c r="N877" s="15">
        <f t="shared" si="47"/>
        <v>59</v>
      </c>
      <c r="O877" s="15">
        <f t="shared" si="48"/>
        <v>1.78</v>
      </c>
      <c r="P877" s="15">
        <f>IF(G877,INDEX(monster!$J$2:$J$606,MATCH(skill!C877,monster!$A$2:$A$606,0)),Q877)</f>
        <v>1.2</v>
      </c>
      <c r="Q877" s="70"/>
      <c r="R877" s="33">
        <v>100</v>
      </c>
    </row>
    <row r="878" spans="1:18" s="38" customFormat="1" x14ac:dyDescent="0.15">
      <c r="A878" s="32">
        <v>10922</v>
      </c>
      <c r="B878" s="32" t="s">
        <v>1189</v>
      </c>
      <c r="C878" s="31">
        <v>1491</v>
      </c>
      <c r="D878" s="32">
        <v>7</v>
      </c>
      <c r="E878" s="15">
        <f>INDEX(monster!$H$2:$H$617,MATCH(skill!C878,monster!$A$2:$A$617,0))</f>
        <v>66.48</v>
      </c>
      <c r="F878" s="15">
        <f>INDEX(monster!$I$2:$I$617,MATCH(C878,monster!$A$2:$A$617,0))</f>
        <v>1.99</v>
      </c>
      <c r="G878" s="15" t="b">
        <f t="shared" si="49"/>
        <v>1</v>
      </c>
      <c r="H878" s="31">
        <v>1</v>
      </c>
      <c r="I878" s="15">
        <f>IF(H878&gt;0,HLOOKUP(R878/100,数值规划表!$B$37:$AA$39,3),1)</f>
        <v>1</v>
      </c>
      <c r="J878" s="31" t="s">
        <v>1625</v>
      </c>
      <c r="K878" s="15">
        <f>INDEX(数值规划表!$B$15:$B$18,MATCH(J878,攻击范围,0))</f>
        <v>1</v>
      </c>
      <c r="L878" s="30">
        <v>1</v>
      </c>
      <c r="M878" s="41">
        <v>0</v>
      </c>
      <c r="N878" s="15">
        <f t="shared" si="47"/>
        <v>66</v>
      </c>
      <c r="O878" s="15">
        <f t="shared" si="48"/>
        <v>1.99</v>
      </c>
      <c r="P878" s="15">
        <f>IF(G878,INDEX(monster!$J$2:$J$606,MATCH(skill!C878,monster!$A$2:$A$606,0)),Q878)</f>
        <v>1.2</v>
      </c>
      <c r="Q878" s="70"/>
      <c r="R878" s="33">
        <v>100</v>
      </c>
    </row>
    <row r="879" spans="1:18" s="38" customFormat="1" x14ac:dyDescent="0.15">
      <c r="A879" s="32">
        <v>10923</v>
      </c>
      <c r="B879" s="32" t="s">
        <v>1190</v>
      </c>
      <c r="C879" s="31">
        <v>1492</v>
      </c>
      <c r="D879" s="32">
        <v>8</v>
      </c>
      <c r="E879" s="15">
        <f>INDEX(monster!$H$2:$H$617,MATCH(skill!C879,monster!$A$2:$A$617,0))</f>
        <v>74.45</v>
      </c>
      <c r="F879" s="15">
        <f>INDEX(monster!$I$2:$I$617,MATCH(C879,monster!$A$2:$A$617,0))</f>
        <v>2.23</v>
      </c>
      <c r="G879" s="15" t="b">
        <f t="shared" si="49"/>
        <v>1</v>
      </c>
      <c r="H879" s="31">
        <v>1</v>
      </c>
      <c r="I879" s="15">
        <f>IF(H879&gt;0,HLOOKUP(R879/100,数值规划表!$B$37:$AA$39,3),1)</f>
        <v>1</v>
      </c>
      <c r="J879" s="31" t="s">
        <v>1625</v>
      </c>
      <c r="K879" s="15">
        <f>INDEX(数值规划表!$B$15:$B$18,MATCH(J879,攻击范围,0))</f>
        <v>1</v>
      </c>
      <c r="L879" s="30">
        <v>1</v>
      </c>
      <c r="M879" s="41">
        <v>0</v>
      </c>
      <c r="N879" s="15">
        <f t="shared" si="47"/>
        <v>74</v>
      </c>
      <c r="O879" s="15">
        <f t="shared" si="48"/>
        <v>2.23</v>
      </c>
      <c r="P879" s="15">
        <f>IF(G879,INDEX(monster!$J$2:$J$606,MATCH(skill!C879,monster!$A$2:$A$606,0)),Q879)</f>
        <v>1.2</v>
      </c>
      <c r="Q879" s="70"/>
      <c r="R879" s="33">
        <v>100</v>
      </c>
    </row>
    <row r="880" spans="1:18" s="38" customFormat="1" x14ac:dyDescent="0.15">
      <c r="A880" s="32">
        <v>10924</v>
      </c>
      <c r="B880" s="32" t="s">
        <v>1191</v>
      </c>
      <c r="C880" s="31">
        <v>1493</v>
      </c>
      <c r="D880" s="32">
        <v>9</v>
      </c>
      <c r="E880" s="15">
        <f>INDEX(monster!$H$2:$H$617,MATCH(skill!C880,monster!$A$2:$A$617,0))</f>
        <v>83.39</v>
      </c>
      <c r="F880" s="15">
        <f>INDEX(monster!$I$2:$I$617,MATCH(C880,monster!$A$2:$A$617,0))</f>
        <v>2.5</v>
      </c>
      <c r="G880" s="15" t="b">
        <f t="shared" si="49"/>
        <v>1</v>
      </c>
      <c r="H880" s="31">
        <v>1</v>
      </c>
      <c r="I880" s="15">
        <f>IF(H880&gt;0,HLOOKUP(R880/100,数值规划表!$B$37:$AA$39,3),1)</f>
        <v>1</v>
      </c>
      <c r="J880" s="31" t="s">
        <v>1625</v>
      </c>
      <c r="K880" s="15">
        <f>INDEX(数值规划表!$B$15:$B$18,MATCH(J880,攻击范围,0))</f>
        <v>1</v>
      </c>
      <c r="L880" s="30">
        <v>1</v>
      </c>
      <c r="M880" s="41">
        <v>0</v>
      </c>
      <c r="N880" s="15">
        <f t="shared" si="47"/>
        <v>83</v>
      </c>
      <c r="O880" s="15">
        <f t="shared" si="48"/>
        <v>2.5</v>
      </c>
      <c r="P880" s="15">
        <f>IF(G880,INDEX(monster!$J$2:$J$606,MATCH(skill!C880,monster!$A$2:$A$606,0)),Q880)</f>
        <v>1.2</v>
      </c>
      <c r="Q880" s="70"/>
      <c r="R880" s="33">
        <v>100</v>
      </c>
    </row>
    <row r="881" spans="1:18" s="38" customFormat="1" x14ac:dyDescent="0.15">
      <c r="A881" s="32">
        <v>10925</v>
      </c>
      <c r="B881" s="32" t="s">
        <v>1192</v>
      </c>
      <c r="C881" s="31">
        <v>1494</v>
      </c>
      <c r="D881" s="32">
        <v>10</v>
      </c>
      <c r="E881" s="15">
        <f>INDEX(monster!$H$2:$H$617,MATCH(skill!C881,monster!$A$2:$A$617,0))</f>
        <v>93.39</v>
      </c>
      <c r="F881" s="15">
        <f>INDEX(monster!$I$2:$I$617,MATCH(C881,monster!$A$2:$A$617,0))</f>
        <v>2.8</v>
      </c>
      <c r="G881" s="15" t="b">
        <f t="shared" si="49"/>
        <v>1</v>
      </c>
      <c r="H881" s="31">
        <v>1</v>
      </c>
      <c r="I881" s="15">
        <f>IF(H881&gt;0,HLOOKUP(R881/100,数值规划表!$B$37:$AA$39,3),1)</f>
        <v>1</v>
      </c>
      <c r="J881" s="31" t="s">
        <v>1625</v>
      </c>
      <c r="K881" s="15">
        <f>INDEX(数值规划表!$B$15:$B$18,MATCH(J881,攻击范围,0))</f>
        <v>1</v>
      </c>
      <c r="L881" s="30">
        <v>1</v>
      </c>
      <c r="M881" s="41">
        <v>0</v>
      </c>
      <c r="N881" s="15">
        <f t="shared" si="47"/>
        <v>93</v>
      </c>
      <c r="O881" s="15">
        <f t="shared" si="48"/>
        <v>2.8</v>
      </c>
      <c r="P881" s="15">
        <f>IF(G881,INDEX(monster!$J$2:$J$606,MATCH(skill!C881,monster!$A$2:$A$606,0)),Q881)</f>
        <v>1.2</v>
      </c>
      <c r="Q881" s="70"/>
      <c r="R881" s="33">
        <v>100</v>
      </c>
    </row>
    <row r="882" spans="1:18" s="38" customFormat="1" x14ac:dyDescent="0.15">
      <c r="A882" s="32">
        <v>10926</v>
      </c>
      <c r="B882" s="32" t="s">
        <v>1569</v>
      </c>
      <c r="C882" s="31">
        <v>1495</v>
      </c>
      <c r="D882" s="32">
        <v>0</v>
      </c>
      <c r="E882" s="15">
        <f>INDEX(monster!$H$2:$H$617,MATCH(skill!C882,monster!$A$2:$A$617,0))</f>
        <v>65.39</v>
      </c>
      <c r="F882" s="15">
        <f>INDEX(monster!$I$2:$I$617,MATCH(C882,monster!$A$2:$A$617,0))</f>
        <v>1.96</v>
      </c>
      <c r="G882" s="15" t="b">
        <f t="shared" si="49"/>
        <v>1</v>
      </c>
      <c r="H882" s="31">
        <v>1</v>
      </c>
      <c r="I882" s="15">
        <f>IF(H882&gt;0,HLOOKUP(R882/100,数值规划表!$B$37:$AA$39,3),1)</f>
        <v>3.024</v>
      </c>
      <c r="J882" s="31" t="s">
        <v>1628</v>
      </c>
      <c r="K882" s="15">
        <f>INDEX(数值规划表!$B$15:$B$18,MATCH(J882,攻击范围,0))</f>
        <v>0.5</v>
      </c>
      <c r="L882" s="70">
        <v>1</v>
      </c>
      <c r="M882" s="41">
        <v>0</v>
      </c>
      <c r="N882" s="15">
        <f t="shared" si="47"/>
        <v>99</v>
      </c>
      <c r="O882" s="15">
        <f t="shared" si="48"/>
        <v>2.96</v>
      </c>
      <c r="P882" s="15">
        <f>IF(G882,INDEX(monster!$J$2:$J$606,MATCH(skill!C882,monster!$A$2:$A$606,0)),Q882)</f>
        <v>0.75</v>
      </c>
      <c r="Q882" s="70"/>
      <c r="R882" s="33">
        <v>210</v>
      </c>
    </row>
    <row r="883" spans="1:18" s="38" customFormat="1" x14ac:dyDescent="0.15">
      <c r="A883" s="32">
        <v>10927</v>
      </c>
      <c r="B883" s="32" t="s">
        <v>1570</v>
      </c>
      <c r="C883" s="31">
        <v>1496</v>
      </c>
      <c r="D883" s="32">
        <v>1</v>
      </c>
      <c r="E883" s="15">
        <f>INDEX(monster!$H$2:$H$617,MATCH(skill!C883,monster!$A$2:$A$617,0))</f>
        <v>73.239999999999995</v>
      </c>
      <c r="F883" s="15">
        <f>INDEX(monster!$I$2:$I$617,MATCH(C883,monster!$A$2:$A$617,0))</f>
        <v>2.2000000000000002</v>
      </c>
      <c r="G883" s="15" t="b">
        <f t="shared" si="49"/>
        <v>1</v>
      </c>
      <c r="H883" s="31">
        <v>1</v>
      </c>
      <c r="I883" s="15">
        <f>IF(H883&gt;0,HLOOKUP(R883/100,数值规划表!$B$37:$AA$39,3),1)</f>
        <v>3.024</v>
      </c>
      <c r="J883" s="31" t="s">
        <v>1628</v>
      </c>
      <c r="K883" s="15">
        <f>INDEX(数值规划表!$B$15:$B$18,MATCH(J883,攻击范围,0))</f>
        <v>0.5</v>
      </c>
      <c r="L883" s="70">
        <v>1</v>
      </c>
      <c r="M883" s="41">
        <v>0</v>
      </c>
      <c r="N883" s="15">
        <f t="shared" si="47"/>
        <v>111</v>
      </c>
      <c r="O883" s="15">
        <f t="shared" si="48"/>
        <v>3.33</v>
      </c>
      <c r="P883" s="15">
        <f>IF(G883,INDEX(monster!$J$2:$J$606,MATCH(skill!C883,monster!$A$2:$A$606,0)),Q883)</f>
        <v>0.75</v>
      </c>
      <c r="Q883" s="70"/>
      <c r="R883" s="33">
        <v>210</v>
      </c>
    </row>
    <row r="884" spans="1:18" s="38" customFormat="1" x14ac:dyDescent="0.15">
      <c r="A884" s="32">
        <v>10928</v>
      </c>
      <c r="B884" s="32" t="s">
        <v>1193</v>
      </c>
      <c r="C884" s="31">
        <v>1497</v>
      </c>
      <c r="D884" s="32">
        <v>2</v>
      </c>
      <c r="E884" s="15">
        <f>INDEX(monster!$H$2:$H$617,MATCH(skill!C884,monster!$A$2:$A$617,0))</f>
        <v>82.03</v>
      </c>
      <c r="F884" s="15">
        <f>INDEX(monster!$I$2:$I$617,MATCH(C884,monster!$A$2:$A$617,0))</f>
        <v>2.46</v>
      </c>
      <c r="G884" s="15" t="b">
        <f t="shared" si="49"/>
        <v>1</v>
      </c>
      <c r="H884" s="31">
        <v>1</v>
      </c>
      <c r="I884" s="15">
        <f>IF(H884&gt;0,HLOOKUP(R884/100,数值规划表!$B$37:$AA$39,3),1)</f>
        <v>3.024</v>
      </c>
      <c r="J884" s="31" t="s">
        <v>1628</v>
      </c>
      <c r="K884" s="15">
        <f>INDEX(数值规划表!$B$15:$B$18,MATCH(J884,攻击范围,0))</f>
        <v>0.5</v>
      </c>
      <c r="L884" s="70">
        <v>1</v>
      </c>
      <c r="M884" s="41">
        <v>0</v>
      </c>
      <c r="N884" s="15">
        <f t="shared" si="47"/>
        <v>124</v>
      </c>
      <c r="O884" s="15">
        <f t="shared" si="48"/>
        <v>3.72</v>
      </c>
      <c r="P884" s="15">
        <f>IF(G884,INDEX(monster!$J$2:$J$606,MATCH(skill!C884,monster!$A$2:$A$606,0)),Q884)</f>
        <v>0.75</v>
      </c>
      <c r="Q884" s="70"/>
      <c r="R884" s="33">
        <v>210</v>
      </c>
    </row>
    <row r="885" spans="1:18" s="38" customFormat="1" x14ac:dyDescent="0.15">
      <c r="A885" s="32">
        <v>10929</v>
      </c>
      <c r="B885" s="32" t="s">
        <v>1194</v>
      </c>
      <c r="C885" s="31">
        <v>1498</v>
      </c>
      <c r="D885" s="32">
        <v>3</v>
      </c>
      <c r="E885" s="15">
        <f>INDEX(monster!$H$2:$H$617,MATCH(skill!C885,monster!$A$2:$A$617,0))</f>
        <v>91.87</v>
      </c>
      <c r="F885" s="15">
        <f>INDEX(monster!$I$2:$I$617,MATCH(C885,monster!$A$2:$A$617,0))</f>
        <v>2.76</v>
      </c>
      <c r="G885" s="15" t="b">
        <f t="shared" si="49"/>
        <v>1</v>
      </c>
      <c r="H885" s="31">
        <v>1</v>
      </c>
      <c r="I885" s="15">
        <f>IF(H885&gt;0,HLOOKUP(R885/100,数值规划表!$B$37:$AA$39,3),1)</f>
        <v>3.024</v>
      </c>
      <c r="J885" s="31" t="s">
        <v>1628</v>
      </c>
      <c r="K885" s="15">
        <f>INDEX(数值规划表!$B$15:$B$18,MATCH(J885,攻击范围,0))</f>
        <v>0.5</v>
      </c>
      <c r="L885" s="70">
        <v>1</v>
      </c>
      <c r="M885" s="41">
        <v>0</v>
      </c>
      <c r="N885" s="15">
        <f t="shared" si="47"/>
        <v>139</v>
      </c>
      <c r="O885" s="15">
        <f t="shared" si="48"/>
        <v>4.17</v>
      </c>
      <c r="P885" s="15">
        <f>IF(G885,INDEX(monster!$J$2:$J$606,MATCH(skill!C885,monster!$A$2:$A$606,0)),Q885)</f>
        <v>0.75</v>
      </c>
      <c r="Q885" s="70"/>
      <c r="R885" s="33">
        <v>210</v>
      </c>
    </row>
    <row r="886" spans="1:18" s="38" customFormat="1" x14ac:dyDescent="0.15">
      <c r="A886" s="32">
        <v>10930</v>
      </c>
      <c r="B886" s="32" t="s">
        <v>1195</v>
      </c>
      <c r="C886" s="31">
        <v>1499</v>
      </c>
      <c r="D886" s="32">
        <v>4</v>
      </c>
      <c r="E886" s="15">
        <f>INDEX(monster!$H$2:$H$617,MATCH(skill!C886,monster!$A$2:$A$617,0))</f>
        <v>102.89</v>
      </c>
      <c r="F886" s="15">
        <f>INDEX(monster!$I$2:$I$617,MATCH(C886,monster!$A$2:$A$617,0))</f>
        <v>3.09</v>
      </c>
      <c r="G886" s="15" t="b">
        <f t="shared" si="49"/>
        <v>1</v>
      </c>
      <c r="H886" s="31">
        <v>1</v>
      </c>
      <c r="I886" s="15">
        <f>IF(H886&gt;0,HLOOKUP(R886/100,数值规划表!$B$37:$AA$39,3),1)</f>
        <v>3.024</v>
      </c>
      <c r="J886" s="31" t="s">
        <v>1628</v>
      </c>
      <c r="K886" s="15">
        <f>INDEX(数值规划表!$B$15:$B$18,MATCH(J886,攻击范围,0))</f>
        <v>0.5</v>
      </c>
      <c r="L886" s="70">
        <v>1</v>
      </c>
      <c r="M886" s="41">
        <v>0</v>
      </c>
      <c r="N886" s="15">
        <f t="shared" si="47"/>
        <v>156</v>
      </c>
      <c r="O886" s="15">
        <f t="shared" si="48"/>
        <v>4.67</v>
      </c>
      <c r="P886" s="15">
        <f>IF(G886,INDEX(monster!$J$2:$J$606,MATCH(skill!C886,monster!$A$2:$A$606,0)),Q886)</f>
        <v>0.75</v>
      </c>
      <c r="Q886" s="70"/>
      <c r="R886" s="33">
        <v>210</v>
      </c>
    </row>
    <row r="887" spans="1:18" s="38" customFormat="1" x14ac:dyDescent="0.15">
      <c r="A887" s="32">
        <v>10931</v>
      </c>
      <c r="B887" s="32" t="s">
        <v>1196</v>
      </c>
      <c r="C887" s="31">
        <v>1500</v>
      </c>
      <c r="D887" s="32">
        <v>5</v>
      </c>
      <c r="E887" s="15">
        <f>INDEX(monster!$H$2:$H$617,MATCH(skill!C887,monster!$A$2:$A$617,0))</f>
        <v>115.24</v>
      </c>
      <c r="F887" s="15">
        <f>INDEX(monster!$I$2:$I$617,MATCH(C887,monster!$A$2:$A$617,0))</f>
        <v>3.46</v>
      </c>
      <c r="G887" s="15" t="b">
        <f t="shared" si="49"/>
        <v>1</v>
      </c>
      <c r="H887" s="31">
        <v>1</v>
      </c>
      <c r="I887" s="15">
        <f>IF(H887&gt;0,HLOOKUP(R887/100,数值规划表!$B$37:$AA$39,3),1)</f>
        <v>3.024</v>
      </c>
      <c r="J887" s="31" t="s">
        <v>1628</v>
      </c>
      <c r="K887" s="15">
        <f>INDEX(数值规划表!$B$15:$B$18,MATCH(J887,攻击范围,0))</f>
        <v>0.5</v>
      </c>
      <c r="L887" s="70">
        <v>1</v>
      </c>
      <c r="M887" s="41">
        <v>0</v>
      </c>
      <c r="N887" s="15">
        <f t="shared" ref="N887:N950" si="50">ROUND(E887*I887*K887*L887,0)</f>
        <v>174</v>
      </c>
      <c r="O887" s="15">
        <f t="shared" ref="O887:O950" si="51">ROUND(F887*I887*K887*L887,2)</f>
        <v>5.23</v>
      </c>
      <c r="P887" s="15">
        <f>IF(G887,INDEX(monster!$J$2:$J$606,MATCH(skill!C887,monster!$A$2:$A$606,0)),Q887)</f>
        <v>0.75</v>
      </c>
      <c r="Q887" s="70"/>
      <c r="R887" s="33">
        <v>210</v>
      </c>
    </row>
    <row r="888" spans="1:18" s="38" customFormat="1" x14ac:dyDescent="0.15">
      <c r="A888" s="32">
        <v>10932</v>
      </c>
      <c r="B888" s="32" t="s">
        <v>1197</v>
      </c>
      <c r="C888" s="31">
        <v>1501</v>
      </c>
      <c r="D888" s="32">
        <v>6</v>
      </c>
      <c r="E888" s="15">
        <f>INDEX(monster!$H$2:$H$617,MATCH(skill!C888,monster!$A$2:$A$617,0))</f>
        <v>129.07</v>
      </c>
      <c r="F888" s="15">
        <f>INDEX(monster!$I$2:$I$617,MATCH(C888,monster!$A$2:$A$617,0))</f>
        <v>3.87</v>
      </c>
      <c r="G888" s="15" t="b">
        <f t="shared" si="49"/>
        <v>1</v>
      </c>
      <c r="H888" s="31">
        <v>1</v>
      </c>
      <c r="I888" s="15">
        <f>IF(H888&gt;0,HLOOKUP(R888/100,数值规划表!$B$37:$AA$39,3),1)</f>
        <v>3.024</v>
      </c>
      <c r="J888" s="31" t="s">
        <v>1628</v>
      </c>
      <c r="K888" s="15">
        <f>INDEX(数值规划表!$B$15:$B$18,MATCH(J888,攻击范围,0))</f>
        <v>0.5</v>
      </c>
      <c r="L888" s="70">
        <v>1</v>
      </c>
      <c r="M888" s="41">
        <v>0</v>
      </c>
      <c r="N888" s="15">
        <f t="shared" si="50"/>
        <v>195</v>
      </c>
      <c r="O888" s="15">
        <f t="shared" si="51"/>
        <v>5.85</v>
      </c>
      <c r="P888" s="15">
        <f>IF(G888,INDEX(monster!$J$2:$J$606,MATCH(skill!C888,monster!$A$2:$A$606,0)),Q888)</f>
        <v>0.75</v>
      </c>
      <c r="Q888" s="70"/>
      <c r="R888" s="33">
        <v>210</v>
      </c>
    </row>
    <row r="889" spans="1:18" s="38" customFormat="1" x14ac:dyDescent="0.15">
      <c r="A889" s="32">
        <v>10933</v>
      </c>
      <c r="B889" s="32" t="s">
        <v>1198</v>
      </c>
      <c r="C889" s="31">
        <v>1502</v>
      </c>
      <c r="D889" s="32">
        <v>7</v>
      </c>
      <c r="E889" s="15">
        <f>INDEX(monster!$H$2:$H$617,MATCH(skill!C889,monster!$A$2:$A$617,0))</f>
        <v>144.56</v>
      </c>
      <c r="F889" s="15">
        <f>INDEX(monster!$I$2:$I$617,MATCH(C889,monster!$A$2:$A$617,0))</f>
        <v>4.34</v>
      </c>
      <c r="G889" s="15" t="b">
        <f t="shared" si="49"/>
        <v>1</v>
      </c>
      <c r="H889" s="31">
        <v>1</v>
      </c>
      <c r="I889" s="15">
        <f>IF(H889&gt;0,HLOOKUP(R889/100,数值规划表!$B$37:$AA$39,3),1)</f>
        <v>3.024</v>
      </c>
      <c r="J889" s="31" t="s">
        <v>1628</v>
      </c>
      <c r="K889" s="15">
        <f>INDEX(数值规划表!$B$15:$B$18,MATCH(J889,攻击范围,0))</f>
        <v>0.5</v>
      </c>
      <c r="L889" s="70">
        <v>1</v>
      </c>
      <c r="M889" s="41">
        <v>0</v>
      </c>
      <c r="N889" s="15">
        <f t="shared" si="50"/>
        <v>219</v>
      </c>
      <c r="O889" s="15">
        <f t="shared" si="51"/>
        <v>6.56</v>
      </c>
      <c r="P889" s="15">
        <f>IF(G889,INDEX(monster!$J$2:$J$606,MATCH(skill!C889,monster!$A$2:$A$606,0)),Q889)</f>
        <v>0.75</v>
      </c>
      <c r="Q889" s="70"/>
      <c r="R889" s="33">
        <v>210</v>
      </c>
    </row>
    <row r="890" spans="1:18" s="38" customFormat="1" x14ac:dyDescent="0.15">
      <c r="A890" s="32">
        <v>10934</v>
      </c>
      <c r="B890" s="32" t="s">
        <v>1199</v>
      </c>
      <c r="C890" s="31">
        <v>1503</v>
      </c>
      <c r="D890" s="32">
        <v>8</v>
      </c>
      <c r="E890" s="15">
        <f>INDEX(monster!$H$2:$H$617,MATCH(skill!C890,monster!$A$2:$A$617,0))</f>
        <v>161.9</v>
      </c>
      <c r="F890" s="15">
        <f>INDEX(monster!$I$2:$I$617,MATCH(C890,monster!$A$2:$A$617,0))</f>
        <v>4.8600000000000003</v>
      </c>
      <c r="G890" s="15" t="b">
        <f t="shared" si="49"/>
        <v>1</v>
      </c>
      <c r="H890" s="31">
        <v>1</v>
      </c>
      <c r="I890" s="15">
        <f>IF(H890&gt;0,HLOOKUP(R890/100,数值规划表!$B$37:$AA$39,3),1)</f>
        <v>3.024</v>
      </c>
      <c r="J890" s="31" t="s">
        <v>1628</v>
      </c>
      <c r="K890" s="15">
        <f>INDEX(数值规划表!$B$15:$B$18,MATCH(J890,攻击范围,0))</f>
        <v>0.5</v>
      </c>
      <c r="L890" s="70">
        <v>1</v>
      </c>
      <c r="M890" s="41">
        <v>0</v>
      </c>
      <c r="N890" s="15">
        <f t="shared" si="50"/>
        <v>245</v>
      </c>
      <c r="O890" s="15">
        <f t="shared" si="51"/>
        <v>7.35</v>
      </c>
      <c r="P890" s="15">
        <f>IF(G890,INDEX(monster!$J$2:$J$606,MATCH(skill!C890,monster!$A$2:$A$606,0)),Q890)</f>
        <v>0.75</v>
      </c>
      <c r="Q890" s="70"/>
      <c r="R890" s="33">
        <v>210</v>
      </c>
    </row>
    <row r="891" spans="1:18" s="38" customFormat="1" x14ac:dyDescent="0.15">
      <c r="A891" s="32">
        <v>10935</v>
      </c>
      <c r="B891" s="32" t="s">
        <v>1200</v>
      </c>
      <c r="C891" s="31">
        <v>1504</v>
      </c>
      <c r="D891" s="32">
        <v>9</v>
      </c>
      <c r="E891" s="15">
        <f>INDEX(monster!$H$2:$H$617,MATCH(skill!C891,monster!$A$2:$A$617,0))</f>
        <v>181.33</v>
      </c>
      <c r="F891" s="15">
        <f>INDEX(monster!$I$2:$I$617,MATCH(C891,monster!$A$2:$A$617,0))</f>
        <v>5.44</v>
      </c>
      <c r="G891" s="15" t="b">
        <f t="shared" si="49"/>
        <v>1</v>
      </c>
      <c r="H891" s="31">
        <v>1</v>
      </c>
      <c r="I891" s="15">
        <f>IF(H891&gt;0,HLOOKUP(R891/100,数值规划表!$B$37:$AA$39,3),1)</f>
        <v>3.024</v>
      </c>
      <c r="J891" s="31" t="s">
        <v>1628</v>
      </c>
      <c r="K891" s="15">
        <f>INDEX(数值规划表!$B$15:$B$18,MATCH(J891,攻击范围,0))</f>
        <v>0.5</v>
      </c>
      <c r="L891" s="70">
        <v>1</v>
      </c>
      <c r="M891" s="41">
        <v>0</v>
      </c>
      <c r="N891" s="15">
        <f t="shared" si="50"/>
        <v>274</v>
      </c>
      <c r="O891" s="15">
        <f t="shared" si="51"/>
        <v>8.23</v>
      </c>
      <c r="P891" s="15">
        <f>IF(G891,INDEX(monster!$J$2:$J$606,MATCH(skill!C891,monster!$A$2:$A$606,0)),Q891)</f>
        <v>0.75</v>
      </c>
      <c r="Q891" s="70"/>
      <c r="R891" s="33">
        <v>210</v>
      </c>
    </row>
    <row r="892" spans="1:18" s="38" customFormat="1" x14ac:dyDescent="0.15">
      <c r="A892" s="32">
        <v>10936</v>
      </c>
      <c r="B892" s="32" t="s">
        <v>1201</v>
      </c>
      <c r="C892" s="31">
        <v>1505</v>
      </c>
      <c r="D892" s="32">
        <v>10</v>
      </c>
      <c r="E892" s="15">
        <f>INDEX(monster!$H$2:$H$617,MATCH(skill!C892,monster!$A$2:$A$617,0))</f>
        <v>203.09</v>
      </c>
      <c r="F892" s="15">
        <f>INDEX(monster!$I$2:$I$617,MATCH(C892,monster!$A$2:$A$617,0))</f>
        <v>6.09</v>
      </c>
      <c r="G892" s="15" t="b">
        <f t="shared" si="49"/>
        <v>1</v>
      </c>
      <c r="H892" s="31">
        <v>1</v>
      </c>
      <c r="I892" s="15">
        <f>IF(H892&gt;0,HLOOKUP(R892/100,数值规划表!$B$37:$AA$39,3),1)</f>
        <v>3.024</v>
      </c>
      <c r="J892" s="31" t="s">
        <v>1628</v>
      </c>
      <c r="K892" s="15">
        <f>INDEX(数值规划表!$B$15:$B$18,MATCH(J892,攻击范围,0))</f>
        <v>0.5</v>
      </c>
      <c r="L892" s="70">
        <v>1</v>
      </c>
      <c r="M892" s="41">
        <v>0</v>
      </c>
      <c r="N892" s="15">
        <f t="shared" si="50"/>
        <v>307</v>
      </c>
      <c r="O892" s="15">
        <f t="shared" si="51"/>
        <v>9.2100000000000009</v>
      </c>
      <c r="P892" s="15">
        <f>IF(G892,INDEX(monster!$J$2:$J$606,MATCH(skill!C892,monster!$A$2:$A$606,0)),Q892)</f>
        <v>0.75</v>
      </c>
      <c r="Q892" s="70"/>
      <c r="R892" s="33">
        <v>210</v>
      </c>
    </row>
    <row r="893" spans="1:18" s="38" customFormat="1" x14ac:dyDescent="0.15">
      <c r="A893" s="32">
        <v>10937</v>
      </c>
      <c r="B893" s="32" t="s">
        <v>1571</v>
      </c>
      <c r="C893" s="31">
        <v>1384</v>
      </c>
      <c r="D893" s="32">
        <v>0</v>
      </c>
      <c r="E893" s="15">
        <f>INDEX(monster!$H$2:$H$617,MATCH(skill!C893,monster!$A$2:$A$617,0))</f>
        <v>38.9</v>
      </c>
      <c r="F893" s="15">
        <f>INDEX(monster!$I$2:$I$617,MATCH(C893,monster!$A$2:$A$617,0))</f>
        <v>1.17</v>
      </c>
      <c r="G893" s="15" t="b">
        <f t="shared" si="49"/>
        <v>1</v>
      </c>
      <c r="H893" s="31">
        <v>0</v>
      </c>
      <c r="I893" s="15">
        <f>IF(H893&gt;0,HLOOKUP(R893/100,数值规划表!$B$37:$AA$39,3),1)</f>
        <v>1</v>
      </c>
      <c r="J893" s="31" t="s">
        <v>1625</v>
      </c>
      <c r="K893" s="15">
        <v>0.7</v>
      </c>
      <c r="L893" s="30">
        <v>1</v>
      </c>
      <c r="M893" s="41">
        <v>0</v>
      </c>
      <c r="N893" s="15">
        <f t="shared" si="50"/>
        <v>27</v>
      </c>
      <c r="O893" s="15">
        <f t="shared" si="51"/>
        <v>0.82</v>
      </c>
      <c r="P893" s="15">
        <f>IF(G893,INDEX(monster!$J$2:$J$606,MATCH(skill!C893,monster!$A$2:$A$606,0)),Q893)</f>
        <v>5</v>
      </c>
      <c r="Q893" s="70"/>
      <c r="R893" s="33">
        <v>350</v>
      </c>
    </row>
    <row r="894" spans="1:18" s="38" customFormat="1" x14ac:dyDescent="0.15">
      <c r="A894" s="32">
        <v>10938</v>
      </c>
      <c r="B894" s="32" t="s">
        <v>1572</v>
      </c>
      <c r="C894" s="31">
        <v>1385</v>
      </c>
      <c r="D894" s="32">
        <v>1</v>
      </c>
      <c r="E894" s="15">
        <f>INDEX(monster!$H$2:$H$617,MATCH(skill!C894,monster!$A$2:$A$617,0))</f>
        <v>43.57</v>
      </c>
      <c r="F894" s="15">
        <f>INDEX(monster!$I$2:$I$617,MATCH(C894,monster!$A$2:$A$617,0))</f>
        <v>1.31</v>
      </c>
      <c r="G894" s="15" t="b">
        <f t="shared" si="49"/>
        <v>1</v>
      </c>
      <c r="H894" s="31">
        <v>0</v>
      </c>
      <c r="I894" s="15">
        <f>IF(H894&gt;0,HLOOKUP(R894/100,数值规划表!$B$37:$AA$39,3),1)</f>
        <v>1</v>
      </c>
      <c r="J894" s="31" t="s">
        <v>1625</v>
      </c>
      <c r="K894" s="15">
        <v>0.7</v>
      </c>
      <c r="L894" s="30">
        <v>1</v>
      </c>
      <c r="M894" s="41">
        <v>0</v>
      </c>
      <c r="N894" s="15">
        <f t="shared" si="50"/>
        <v>30</v>
      </c>
      <c r="O894" s="15">
        <f t="shared" si="51"/>
        <v>0.92</v>
      </c>
      <c r="P894" s="15">
        <f>IF(G894,INDEX(monster!$J$2:$J$606,MATCH(skill!C894,monster!$A$2:$A$606,0)),Q894)</f>
        <v>5</v>
      </c>
      <c r="Q894" s="70"/>
      <c r="R894" s="33">
        <v>350</v>
      </c>
    </row>
    <row r="895" spans="1:18" s="38" customFormat="1" x14ac:dyDescent="0.15">
      <c r="A895" s="32">
        <v>10939</v>
      </c>
      <c r="B895" s="32" t="s">
        <v>1202</v>
      </c>
      <c r="C895" s="31">
        <v>1386</v>
      </c>
      <c r="D895" s="32">
        <v>2</v>
      </c>
      <c r="E895" s="15">
        <f>INDEX(monster!$H$2:$H$617,MATCH(skill!C895,monster!$A$2:$A$617,0))</f>
        <v>48.8</v>
      </c>
      <c r="F895" s="15">
        <f>INDEX(monster!$I$2:$I$617,MATCH(C895,monster!$A$2:$A$617,0))</f>
        <v>1.46</v>
      </c>
      <c r="G895" s="15" t="b">
        <f t="shared" si="49"/>
        <v>1</v>
      </c>
      <c r="H895" s="31">
        <v>0</v>
      </c>
      <c r="I895" s="15">
        <f>IF(H895&gt;0,HLOOKUP(R895/100,数值规划表!$B$37:$AA$39,3),1)</f>
        <v>1</v>
      </c>
      <c r="J895" s="31" t="s">
        <v>1625</v>
      </c>
      <c r="K895" s="15">
        <v>0.7</v>
      </c>
      <c r="L895" s="30">
        <v>1</v>
      </c>
      <c r="M895" s="41">
        <v>0</v>
      </c>
      <c r="N895" s="15">
        <f t="shared" si="50"/>
        <v>34</v>
      </c>
      <c r="O895" s="15">
        <f t="shared" si="51"/>
        <v>1.02</v>
      </c>
      <c r="P895" s="15">
        <f>IF(G895,INDEX(monster!$J$2:$J$606,MATCH(skill!C895,monster!$A$2:$A$606,0)),Q895)</f>
        <v>5</v>
      </c>
      <c r="Q895" s="70"/>
      <c r="R895" s="33">
        <v>350</v>
      </c>
    </row>
    <row r="896" spans="1:18" s="38" customFormat="1" x14ac:dyDescent="0.15">
      <c r="A896" s="32">
        <v>10940</v>
      </c>
      <c r="B896" s="32" t="s">
        <v>1203</v>
      </c>
      <c r="C896" s="31">
        <v>1387</v>
      </c>
      <c r="D896" s="32">
        <v>3</v>
      </c>
      <c r="E896" s="15">
        <f>INDEX(monster!$H$2:$H$617,MATCH(skill!C896,monster!$A$2:$A$617,0))</f>
        <v>54.65</v>
      </c>
      <c r="F896" s="15">
        <f>INDEX(monster!$I$2:$I$617,MATCH(C896,monster!$A$2:$A$617,0))</f>
        <v>1.64</v>
      </c>
      <c r="G896" s="15" t="b">
        <f t="shared" si="49"/>
        <v>1</v>
      </c>
      <c r="H896" s="31">
        <v>0</v>
      </c>
      <c r="I896" s="15">
        <f>IF(H896&gt;0,HLOOKUP(R896/100,数值规划表!$B$37:$AA$39,3),1)</f>
        <v>1</v>
      </c>
      <c r="J896" s="31" t="s">
        <v>1625</v>
      </c>
      <c r="K896" s="15">
        <v>0.7</v>
      </c>
      <c r="L896" s="30">
        <v>1</v>
      </c>
      <c r="M896" s="41">
        <v>0</v>
      </c>
      <c r="N896" s="15">
        <f t="shared" si="50"/>
        <v>38</v>
      </c>
      <c r="O896" s="15">
        <f t="shared" si="51"/>
        <v>1.1499999999999999</v>
      </c>
      <c r="P896" s="15">
        <f>IF(G896,INDEX(monster!$J$2:$J$606,MATCH(skill!C896,monster!$A$2:$A$606,0)),Q896)</f>
        <v>5</v>
      </c>
      <c r="Q896" s="70"/>
      <c r="R896" s="33">
        <v>350</v>
      </c>
    </row>
    <row r="897" spans="1:18" s="38" customFormat="1" x14ac:dyDescent="0.15">
      <c r="A897" s="32">
        <v>10941</v>
      </c>
      <c r="B897" s="32" t="s">
        <v>1204</v>
      </c>
      <c r="C897" s="31">
        <v>1388</v>
      </c>
      <c r="D897" s="32">
        <v>4</v>
      </c>
      <c r="E897" s="15">
        <f>INDEX(monster!$H$2:$H$617,MATCH(skill!C897,monster!$A$2:$A$617,0))</f>
        <v>61.21</v>
      </c>
      <c r="F897" s="15">
        <f>INDEX(monster!$I$2:$I$617,MATCH(C897,monster!$A$2:$A$617,0))</f>
        <v>1.84</v>
      </c>
      <c r="G897" s="15" t="b">
        <f t="shared" si="49"/>
        <v>1</v>
      </c>
      <c r="H897" s="31">
        <v>0</v>
      </c>
      <c r="I897" s="15">
        <f>IF(H897&gt;0,HLOOKUP(R897/100,数值规划表!$B$37:$AA$39,3),1)</f>
        <v>1</v>
      </c>
      <c r="J897" s="31" t="s">
        <v>1625</v>
      </c>
      <c r="K897" s="15">
        <v>0.7</v>
      </c>
      <c r="L897" s="30">
        <v>1</v>
      </c>
      <c r="M897" s="41">
        <v>0</v>
      </c>
      <c r="N897" s="15">
        <f t="shared" si="50"/>
        <v>43</v>
      </c>
      <c r="O897" s="15">
        <f t="shared" si="51"/>
        <v>1.29</v>
      </c>
      <c r="P897" s="15">
        <f>IF(G897,INDEX(monster!$J$2:$J$606,MATCH(skill!C897,monster!$A$2:$A$606,0)),Q897)</f>
        <v>5</v>
      </c>
      <c r="Q897" s="70"/>
      <c r="R897" s="33">
        <v>350</v>
      </c>
    </row>
    <row r="898" spans="1:18" s="38" customFormat="1" x14ac:dyDescent="0.15">
      <c r="A898" s="32">
        <v>10942</v>
      </c>
      <c r="B898" s="32" t="s">
        <v>1205</v>
      </c>
      <c r="C898" s="31">
        <v>1389</v>
      </c>
      <c r="D898" s="32">
        <v>5</v>
      </c>
      <c r="E898" s="15">
        <f>INDEX(monster!$H$2:$H$617,MATCH(skill!C898,monster!$A$2:$A$617,0))</f>
        <v>68.56</v>
      </c>
      <c r="F898" s="15">
        <f>INDEX(monster!$I$2:$I$617,MATCH(C898,monster!$A$2:$A$617,0))</f>
        <v>2.06</v>
      </c>
      <c r="G898" s="15" t="b">
        <f t="shared" si="49"/>
        <v>1</v>
      </c>
      <c r="H898" s="31">
        <v>0</v>
      </c>
      <c r="I898" s="15">
        <f>IF(H898&gt;0,HLOOKUP(R898/100,数值规划表!$B$37:$AA$39,3),1)</f>
        <v>1</v>
      </c>
      <c r="J898" s="31" t="s">
        <v>1625</v>
      </c>
      <c r="K898" s="15">
        <v>0.7</v>
      </c>
      <c r="L898" s="30">
        <v>1</v>
      </c>
      <c r="M898" s="41">
        <v>0</v>
      </c>
      <c r="N898" s="15">
        <f t="shared" si="50"/>
        <v>48</v>
      </c>
      <c r="O898" s="15">
        <f t="shared" si="51"/>
        <v>1.44</v>
      </c>
      <c r="P898" s="15">
        <f>IF(G898,INDEX(monster!$J$2:$J$606,MATCH(skill!C898,monster!$A$2:$A$606,0)),Q898)</f>
        <v>5</v>
      </c>
      <c r="Q898" s="70"/>
      <c r="R898" s="33">
        <v>350</v>
      </c>
    </row>
    <row r="899" spans="1:18" s="38" customFormat="1" x14ac:dyDescent="0.15">
      <c r="A899" s="32">
        <v>10943</v>
      </c>
      <c r="B899" s="32" t="s">
        <v>1206</v>
      </c>
      <c r="C899" s="31">
        <v>1390</v>
      </c>
      <c r="D899" s="32">
        <v>6</v>
      </c>
      <c r="E899" s="15">
        <f>INDEX(monster!$H$2:$H$617,MATCH(skill!C899,monster!$A$2:$A$617,0))</f>
        <v>76.78</v>
      </c>
      <c r="F899" s="15">
        <f>INDEX(monster!$I$2:$I$617,MATCH(C899,monster!$A$2:$A$617,0))</f>
        <v>2.2999999999999998</v>
      </c>
      <c r="G899" s="15" t="b">
        <f t="shared" si="49"/>
        <v>1</v>
      </c>
      <c r="H899" s="31">
        <v>0</v>
      </c>
      <c r="I899" s="15">
        <f>IF(H899&gt;0,HLOOKUP(R899/100,数值规划表!$B$37:$AA$39,3),1)</f>
        <v>1</v>
      </c>
      <c r="J899" s="31" t="s">
        <v>1625</v>
      </c>
      <c r="K899" s="15">
        <v>0.7</v>
      </c>
      <c r="L899" s="30">
        <v>1</v>
      </c>
      <c r="M899" s="41">
        <v>0</v>
      </c>
      <c r="N899" s="15">
        <f t="shared" si="50"/>
        <v>54</v>
      </c>
      <c r="O899" s="15">
        <f t="shared" si="51"/>
        <v>1.61</v>
      </c>
      <c r="P899" s="15">
        <f>IF(G899,INDEX(monster!$J$2:$J$606,MATCH(skill!C899,monster!$A$2:$A$606,0)),Q899)</f>
        <v>5</v>
      </c>
      <c r="Q899" s="70"/>
      <c r="R899" s="33">
        <v>350</v>
      </c>
    </row>
    <row r="900" spans="1:18" s="38" customFormat="1" x14ac:dyDescent="0.15">
      <c r="A900" s="32">
        <v>10944</v>
      </c>
      <c r="B900" s="32" t="s">
        <v>1207</v>
      </c>
      <c r="C900" s="31">
        <v>1391</v>
      </c>
      <c r="D900" s="32">
        <v>7</v>
      </c>
      <c r="E900" s="15">
        <f>INDEX(monster!$H$2:$H$617,MATCH(skill!C900,monster!$A$2:$A$617,0))</f>
        <v>86</v>
      </c>
      <c r="F900" s="15">
        <f>INDEX(monster!$I$2:$I$617,MATCH(C900,monster!$A$2:$A$617,0))</f>
        <v>2.58</v>
      </c>
      <c r="G900" s="15" t="b">
        <f t="shared" si="49"/>
        <v>1</v>
      </c>
      <c r="H900" s="31">
        <v>0</v>
      </c>
      <c r="I900" s="15">
        <f>IF(H900&gt;0,HLOOKUP(R900/100,数值规划表!$B$37:$AA$39,3),1)</f>
        <v>1</v>
      </c>
      <c r="J900" s="31" t="s">
        <v>1625</v>
      </c>
      <c r="K900" s="15">
        <v>0.7</v>
      </c>
      <c r="L900" s="30">
        <v>1</v>
      </c>
      <c r="M900" s="41">
        <v>0</v>
      </c>
      <c r="N900" s="15">
        <f t="shared" si="50"/>
        <v>60</v>
      </c>
      <c r="O900" s="15">
        <f t="shared" si="51"/>
        <v>1.81</v>
      </c>
      <c r="P900" s="15">
        <f>IF(G900,INDEX(monster!$J$2:$J$606,MATCH(skill!C900,monster!$A$2:$A$606,0)),Q900)</f>
        <v>5</v>
      </c>
      <c r="Q900" s="70"/>
      <c r="R900" s="33">
        <v>350</v>
      </c>
    </row>
    <row r="901" spans="1:18" s="38" customFormat="1" x14ac:dyDescent="0.15">
      <c r="A901" s="32">
        <v>10945</v>
      </c>
      <c r="B901" s="32" t="s">
        <v>1208</v>
      </c>
      <c r="C901" s="31">
        <v>1392</v>
      </c>
      <c r="D901" s="32">
        <v>8</v>
      </c>
      <c r="E901" s="15">
        <f>INDEX(monster!$H$2:$H$617,MATCH(skill!C901,monster!$A$2:$A$617,0))</f>
        <v>96.31</v>
      </c>
      <c r="F901" s="15">
        <f>INDEX(monster!$I$2:$I$617,MATCH(C901,monster!$A$2:$A$617,0))</f>
        <v>2.89</v>
      </c>
      <c r="G901" s="15" t="b">
        <f t="shared" si="49"/>
        <v>1</v>
      </c>
      <c r="H901" s="31">
        <v>0</v>
      </c>
      <c r="I901" s="15">
        <f>IF(H901&gt;0,HLOOKUP(R901/100,数值规划表!$B$37:$AA$39,3),1)</f>
        <v>1</v>
      </c>
      <c r="J901" s="31" t="s">
        <v>1625</v>
      </c>
      <c r="K901" s="15">
        <v>0.7</v>
      </c>
      <c r="L901" s="30">
        <v>1</v>
      </c>
      <c r="M901" s="41">
        <v>0</v>
      </c>
      <c r="N901" s="15">
        <f t="shared" si="50"/>
        <v>67</v>
      </c>
      <c r="O901" s="15">
        <f t="shared" si="51"/>
        <v>2.02</v>
      </c>
      <c r="P901" s="15">
        <f>IF(G901,INDEX(monster!$J$2:$J$606,MATCH(skill!C901,monster!$A$2:$A$606,0)),Q901)</f>
        <v>5</v>
      </c>
      <c r="Q901" s="70"/>
      <c r="R901" s="33">
        <v>350</v>
      </c>
    </row>
    <row r="902" spans="1:18" s="38" customFormat="1" x14ac:dyDescent="0.15">
      <c r="A902" s="32">
        <v>10946</v>
      </c>
      <c r="B902" s="32" t="s">
        <v>1209</v>
      </c>
      <c r="C902" s="31">
        <v>1393</v>
      </c>
      <c r="D902" s="32">
        <v>9</v>
      </c>
      <c r="E902" s="15">
        <f>INDEX(monster!$H$2:$H$617,MATCH(skill!C902,monster!$A$2:$A$617,0))</f>
        <v>107.87</v>
      </c>
      <c r="F902" s="15">
        <f>INDEX(monster!$I$2:$I$617,MATCH(C902,monster!$A$2:$A$617,0))</f>
        <v>3.24</v>
      </c>
      <c r="G902" s="15" t="b">
        <f t="shared" si="49"/>
        <v>1</v>
      </c>
      <c r="H902" s="31">
        <v>0</v>
      </c>
      <c r="I902" s="15">
        <f>IF(H902&gt;0,HLOOKUP(R902/100,数值规划表!$B$37:$AA$39,3),1)</f>
        <v>1</v>
      </c>
      <c r="J902" s="31" t="s">
        <v>1625</v>
      </c>
      <c r="K902" s="15">
        <v>0.7</v>
      </c>
      <c r="L902" s="30">
        <v>1</v>
      </c>
      <c r="M902" s="41">
        <v>0</v>
      </c>
      <c r="N902" s="15">
        <f t="shared" si="50"/>
        <v>76</v>
      </c>
      <c r="O902" s="15">
        <f t="shared" si="51"/>
        <v>2.27</v>
      </c>
      <c r="P902" s="15">
        <f>IF(G902,INDEX(monster!$J$2:$J$606,MATCH(skill!C902,monster!$A$2:$A$606,0)),Q902)</f>
        <v>5</v>
      </c>
      <c r="Q902" s="70"/>
      <c r="R902" s="33">
        <v>350</v>
      </c>
    </row>
    <row r="903" spans="1:18" s="38" customFormat="1" x14ac:dyDescent="0.15">
      <c r="A903" s="32">
        <v>10947</v>
      </c>
      <c r="B903" s="32" t="s">
        <v>1210</v>
      </c>
      <c r="C903" s="31">
        <v>1394</v>
      </c>
      <c r="D903" s="32">
        <v>10</v>
      </c>
      <c r="E903" s="15">
        <f>INDEX(monster!$H$2:$H$617,MATCH(skill!C903,monster!$A$2:$A$617,0))</f>
        <v>120.82</v>
      </c>
      <c r="F903" s="15">
        <f>INDEX(monster!$I$2:$I$617,MATCH(C903,monster!$A$2:$A$617,0))</f>
        <v>3.62</v>
      </c>
      <c r="G903" s="15" t="b">
        <f t="shared" si="49"/>
        <v>1</v>
      </c>
      <c r="H903" s="31">
        <v>0</v>
      </c>
      <c r="I903" s="15">
        <f>IF(H903&gt;0,HLOOKUP(R903/100,数值规划表!$B$37:$AA$39,3),1)</f>
        <v>1</v>
      </c>
      <c r="J903" s="31" t="s">
        <v>1625</v>
      </c>
      <c r="K903" s="15">
        <v>0.7</v>
      </c>
      <c r="L903" s="30">
        <v>1</v>
      </c>
      <c r="M903" s="41">
        <v>0</v>
      </c>
      <c r="N903" s="15">
        <f t="shared" si="50"/>
        <v>85</v>
      </c>
      <c r="O903" s="15">
        <f t="shared" si="51"/>
        <v>2.5299999999999998</v>
      </c>
      <c r="P903" s="15">
        <f>IF(G903,INDEX(monster!$J$2:$J$606,MATCH(skill!C903,monster!$A$2:$A$606,0)),Q903)</f>
        <v>5</v>
      </c>
      <c r="Q903" s="70"/>
      <c r="R903" s="33">
        <v>350</v>
      </c>
    </row>
    <row r="904" spans="1:18" s="38" customFormat="1" x14ac:dyDescent="0.15">
      <c r="A904" s="32">
        <v>10948</v>
      </c>
      <c r="B904" s="32" t="s">
        <v>1573</v>
      </c>
      <c r="C904" s="31">
        <v>1384</v>
      </c>
      <c r="D904" s="32">
        <v>0</v>
      </c>
      <c r="E904" s="15">
        <f>INDEX(monster!$H$2:$H$617,MATCH(skill!C904,monster!$A$2:$A$617,0))</f>
        <v>38.9</v>
      </c>
      <c r="F904" s="15">
        <f>INDEX(monster!$I$2:$I$617,MATCH(C904,monster!$A$2:$A$617,0))</f>
        <v>1.17</v>
      </c>
      <c r="G904" s="15" t="b">
        <f t="shared" si="49"/>
        <v>0</v>
      </c>
      <c r="H904" s="31">
        <v>0</v>
      </c>
      <c r="I904" s="15">
        <f>IF(H904&gt;0,HLOOKUP(R904/100,数值规划表!$B$37:$AA$39,3),1)</f>
        <v>1</v>
      </c>
      <c r="J904" s="31" t="s">
        <v>1672</v>
      </c>
      <c r="K904" s="15">
        <f>INDEX(数值规划表!$B$15:$B$18,MATCH(J904,攻击范围,0))</f>
        <v>0</v>
      </c>
      <c r="L904" s="30">
        <v>1</v>
      </c>
      <c r="M904" s="41">
        <v>0</v>
      </c>
      <c r="N904" s="15">
        <f t="shared" si="50"/>
        <v>0</v>
      </c>
      <c r="O904" s="15">
        <f t="shared" si="51"/>
        <v>0</v>
      </c>
      <c r="P904" s="15">
        <f>IF(G904,INDEX(monster!$J$2:$J$606,MATCH(skill!C904,monster!$A$2:$A$606,0)),Q904)</f>
        <v>0</v>
      </c>
      <c r="Q904" s="70"/>
      <c r="R904" s="33">
        <v>0</v>
      </c>
    </row>
    <row r="905" spans="1:18" s="38" customFormat="1" x14ac:dyDescent="0.15">
      <c r="A905" s="32">
        <v>10949</v>
      </c>
      <c r="B905" s="32" t="s">
        <v>1574</v>
      </c>
      <c r="C905" s="31">
        <v>1385</v>
      </c>
      <c r="D905" s="32">
        <v>1</v>
      </c>
      <c r="E905" s="15">
        <f>INDEX(monster!$H$2:$H$617,MATCH(skill!C905,monster!$A$2:$A$617,0))</f>
        <v>43.57</v>
      </c>
      <c r="F905" s="15">
        <f>INDEX(monster!$I$2:$I$617,MATCH(C905,monster!$A$2:$A$617,0))</f>
        <v>1.31</v>
      </c>
      <c r="G905" s="15" t="b">
        <f t="shared" si="49"/>
        <v>0</v>
      </c>
      <c r="H905" s="31">
        <v>0</v>
      </c>
      <c r="I905" s="15">
        <f>IF(H905&gt;0,HLOOKUP(R905/100,数值规划表!$B$37:$AA$39,3),1)</f>
        <v>1</v>
      </c>
      <c r="J905" s="31" t="s">
        <v>1672</v>
      </c>
      <c r="K905" s="15">
        <f>INDEX(数值规划表!$B$15:$B$18,MATCH(J905,攻击范围,0))</f>
        <v>0</v>
      </c>
      <c r="L905" s="30">
        <v>1</v>
      </c>
      <c r="M905" s="41">
        <v>0</v>
      </c>
      <c r="N905" s="15">
        <f t="shared" si="50"/>
        <v>0</v>
      </c>
      <c r="O905" s="15">
        <f t="shared" si="51"/>
        <v>0</v>
      </c>
      <c r="P905" s="15">
        <f>IF(G905,INDEX(monster!$J$2:$J$606,MATCH(skill!C905,monster!$A$2:$A$606,0)),Q905)</f>
        <v>0</v>
      </c>
      <c r="Q905" s="70"/>
      <c r="R905" s="33">
        <v>0</v>
      </c>
    </row>
    <row r="906" spans="1:18" s="38" customFormat="1" x14ac:dyDescent="0.15">
      <c r="A906" s="32">
        <v>10950</v>
      </c>
      <c r="B906" s="32" t="s">
        <v>1211</v>
      </c>
      <c r="C906" s="31">
        <v>1386</v>
      </c>
      <c r="D906" s="32">
        <v>2</v>
      </c>
      <c r="E906" s="15">
        <f>INDEX(monster!$H$2:$H$617,MATCH(skill!C906,monster!$A$2:$A$617,0))</f>
        <v>48.8</v>
      </c>
      <c r="F906" s="15">
        <f>INDEX(monster!$I$2:$I$617,MATCH(C906,monster!$A$2:$A$617,0))</f>
        <v>1.46</v>
      </c>
      <c r="G906" s="15" t="b">
        <f t="shared" si="49"/>
        <v>0</v>
      </c>
      <c r="H906" s="31">
        <v>0</v>
      </c>
      <c r="I906" s="15">
        <f>IF(H906&gt;0,HLOOKUP(R906/100,数值规划表!$B$37:$AA$39,3),1)</f>
        <v>1</v>
      </c>
      <c r="J906" s="31" t="s">
        <v>1672</v>
      </c>
      <c r="K906" s="15">
        <f>INDEX(数值规划表!$B$15:$B$18,MATCH(J906,攻击范围,0))</f>
        <v>0</v>
      </c>
      <c r="L906" s="30">
        <v>1</v>
      </c>
      <c r="M906" s="41">
        <v>0</v>
      </c>
      <c r="N906" s="15">
        <f t="shared" si="50"/>
        <v>0</v>
      </c>
      <c r="O906" s="15">
        <f t="shared" si="51"/>
        <v>0</v>
      </c>
      <c r="P906" s="15">
        <f>IF(G906,INDEX(monster!$J$2:$J$606,MATCH(skill!C906,monster!$A$2:$A$606,0)),Q906)</f>
        <v>0</v>
      </c>
      <c r="Q906" s="70"/>
      <c r="R906" s="33">
        <v>0</v>
      </c>
    </row>
    <row r="907" spans="1:18" s="38" customFormat="1" x14ac:dyDescent="0.15">
      <c r="A907" s="32">
        <v>10951</v>
      </c>
      <c r="B907" s="32" t="s">
        <v>1212</v>
      </c>
      <c r="C907" s="31">
        <v>1387</v>
      </c>
      <c r="D907" s="32">
        <v>3</v>
      </c>
      <c r="E907" s="15">
        <f>INDEX(monster!$H$2:$H$617,MATCH(skill!C907,monster!$A$2:$A$617,0))</f>
        <v>54.65</v>
      </c>
      <c r="F907" s="15">
        <f>INDEX(monster!$I$2:$I$617,MATCH(C907,monster!$A$2:$A$617,0))</f>
        <v>1.64</v>
      </c>
      <c r="G907" s="15" t="b">
        <f t="shared" si="49"/>
        <v>0</v>
      </c>
      <c r="H907" s="31">
        <v>0</v>
      </c>
      <c r="I907" s="15">
        <f>IF(H907&gt;0,HLOOKUP(R907/100,数值规划表!$B$37:$AA$39,3),1)</f>
        <v>1</v>
      </c>
      <c r="J907" s="31" t="s">
        <v>1672</v>
      </c>
      <c r="K907" s="15">
        <f>INDEX(数值规划表!$B$15:$B$18,MATCH(J907,攻击范围,0))</f>
        <v>0</v>
      </c>
      <c r="L907" s="30">
        <v>1</v>
      </c>
      <c r="M907" s="41">
        <v>0</v>
      </c>
      <c r="N907" s="15">
        <f t="shared" si="50"/>
        <v>0</v>
      </c>
      <c r="O907" s="15">
        <f t="shared" si="51"/>
        <v>0</v>
      </c>
      <c r="P907" s="15">
        <f>IF(G907,INDEX(monster!$J$2:$J$606,MATCH(skill!C907,monster!$A$2:$A$606,0)),Q907)</f>
        <v>0</v>
      </c>
      <c r="Q907" s="70"/>
      <c r="R907" s="33">
        <v>0</v>
      </c>
    </row>
    <row r="908" spans="1:18" s="38" customFormat="1" x14ac:dyDescent="0.15">
      <c r="A908" s="32">
        <v>10952</v>
      </c>
      <c r="B908" s="32" t="s">
        <v>1213</v>
      </c>
      <c r="C908" s="31">
        <v>1388</v>
      </c>
      <c r="D908" s="32">
        <v>4</v>
      </c>
      <c r="E908" s="15">
        <f>INDEX(monster!$H$2:$H$617,MATCH(skill!C908,monster!$A$2:$A$617,0))</f>
        <v>61.21</v>
      </c>
      <c r="F908" s="15">
        <f>INDEX(monster!$I$2:$I$617,MATCH(C908,monster!$A$2:$A$617,0))</f>
        <v>1.84</v>
      </c>
      <c r="G908" s="15" t="b">
        <f t="shared" si="49"/>
        <v>0</v>
      </c>
      <c r="H908" s="31">
        <v>0</v>
      </c>
      <c r="I908" s="15">
        <f>IF(H908&gt;0,HLOOKUP(R908/100,数值规划表!$B$37:$AA$39,3),1)</f>
        <v>1</v>
      </c>
      <c r="J908" s="31" t="s">
        <v>1672</v>
      </c>
      <c r="K908" s="15">
        <f>INDEX(数值规划表!$B$15:$B$18,MATCH(J908,攻击范围,0))</f>
        <v>0</v>
      </c>
      <c r="L908" s="30">
        <v>1</v>
      </c>
      <c r="M908" s="41">
        <v>0</v>
      </c>
      <c r="N908" s="15">
        <f t="shared" si="50"/>
        <v>0</v>
      </c>
      <c r="O908" s="15">
        <f t="shared" si="51"/>
        <v>0</v>
      </c>
      <c r="P908" s="15">
        <f>IF(G908,INDEX(monster!$J$2:$J$606,MATCH(skill!C908,monster!$A$2:$A$606,0)),Q908)</f>
        <v>0</v>
      </c>
      <c r="Q908" s="70"/>
      <c r="R908" s="33">
        <v>0</v>
      </c>
    </row>
    <row r="909" spans="1:18" s="38" customFormat="1" x14ac:dyDescent="0.15">
      <c r="A909" s="32">
        <v>10953</v>
      </c>
      <c r="B909" s="32" t="s">
        <v>1214</v>
      </c>
      <c r="C909" s="31">
        <v>1389</v>
      </c>
      <c r="D909" s="32">
        <v>5</v>
      </c>
      <c r="E909" s="15">
        <f>INDEX(monster!$H$2:$H$617,MATCH(skill!C909,monster!$A$2:$A$617,0))</f>
        <v>68.56</v>
      </c>
      <c r="F909" s="15">
        <f>INDEX(monster!$I$2:$I$617,MATCH(C909,monster!$A$2:$A$617,0))</f>
        <v>2.06</v>
      </c>
      <c r="G909" s="15" t="b">
        <f t="shared" si="49"/>
        <v>0</v>
      </c>
      <c r="H909" s="31">
        <v>0</v>
      </c>
      <c r="I909" s="15">
        <f>IF(H909&gt;0,HLOOKUP(R909/100,数值规划表!$B$37:$AA$39,3),1)</f>
        <v>1</v>
      </c>
      <c r="J909" s="31" t="s">
        <v>1672</v>
      </c>
      <c r="K909" s="15">
        <f>INDEX(数值规划表!$B$15:$B$18,MATCH(J909,攻击范围,0))</f>
        <v>0</v>
      </c>
      <c r="L909" s="30">
        <v>1</v>
      </c>
      <c r="M909" s="41">
        <v>0</v>
      </c>
      <c r="N909" s="15">
        <f t="shared" si="50"/>
        <v>0</v>
      </c>
      <c r="O909" s="15">
        <f t="shared" si="51"/>
        <v>0</v>
      </c>
      <c r="P909" s="15">
        <f>IF(G909,INDEX(monster!$J$2:$J$606,MATCH(skill!C909,monster!$A$2:$A$606,0)),Q909)</f>
        <v>0</v>
      </c>
      <c r="Q909" s="70"/>
      <c r="R909" s="33">
        <v>0</v>
      </c>
    </row>
    <row r="910" spans="1:18" s="38" customFormat="1" x14ac:dyDescent="0.15">
      <c r="A910" s="32">
        <v>10954</v>
      </c>
      <c r="B910" s="32" t="s">
        <v>1215</v>
      </c>
      <c r="C910" s="31">
        <v>1390</v>
      </c>
      <c r="D910" s="32">
        <v>6</v>
      </c>
      <c r="E910" s="15">
        <f>INDEX(monster!$H$2:$H$617,MATCH(skill!C910,monster!$A$2:$A$617,0))</f>
        <v>76.78</v>
      </c>
      <c r="F910" s="15">
        <f>INDEX(monster!$I$2:$I$617,MATCH(C910,monster!$A$2:$A$617,0))</f>
        <v>2.2999999999999998</v>
      </c>
      <c r="G910" s="15" t="b">
        <f t="shared" si="49"/>
        <v>0</v>
      </c>
      <c r="H910" s="31">
        <v>0</v>
      </c>
      <c r="I910" s="15">
        <f>IF(H910&gt;0,HLOOKUP(R910/100,数值规划表!$B$37:$AA$39,3),1)</f>
        <v>1</v>
      </c>
      <c r="J910" s="31" t="s">
        <v>1672</v>
      </c>
      <c r="K910" s="15">
        <f>INDEX(数值规划表!$B$15:$B$18,MATCH(J910,攻击范围,0))</f>
        <v>0</v>
      </c>
      <c r="L910" s="30">
        <v>1</v>
      </c>
      <c r="M910" s="41">
        <v>0</v>
      </c>
      <c r="N910" s="15">
        <f t="shared" si="50"/>
        <v>0</v>
      </c>
      <c r="O910" s="15">
        <f t="shared" si="51"/>
        <v>0</v>
      </c>
      <c r="P910" s="15">
        <f>IF(G910,INDEX(monster!$J$2:$J$606,MATCH(skill!C910,monster!$A$2:$A$606,0)),Q910)</f>
        <v>0</v>
      </c>
      <c r="Q910" s="70"/>
      <c r="R910" s="33">
        <v>0</v>
      </c>
    </row>
    <row r="911" spans="1:18" s="38" customFormat="1" x14ac:dyDescent="0.15">
      <c r="A911" s="32">
        <v>10955</v>
      </c>
      <c r="B911" s="32" t="s">
        <v>1216</v>
      </c>
      <c r="C911" s="31">
        <v>1391</v>
      </c>
      <c r="D911" s="32">
        <v>7</v>
      </c>
      <c r="E911" s="15">
        <f>INDEX(monster!$H$2:$H$617,MATCH(skill!C911,monster!$A$2:$A$617,0))</f>
        <v>86</v>
      </c>
      <c r="F911" s="15">
        <f>INDEX(monster!$I$2:$I$617,MATCH(C911,monster!$A$2:$A$617,0))</f>
        <v>2.58</v>
      </c>
      <c r="G911" s="15" t="b">
        <f t="shared" si="49"/>
        <v>0</v>
      </c>
      <c r="H911" s="31">
        <v>0</v>
      </c>
      <c r="I911" s="15">
        <f>IF(H911&gt;0,HLOOKUP(R911/100,数值规划表!$B$37:$AA$39,3),1)</f>
        <v>1</v>
      </c>
      <c r="J911" s="31" t="s">
        <v>1672</v>
      </c>
      <c r="K911" s="15">
        <f>INDEX(数值规划表!$B$15:$B$18,MATCH(J911,攻击范围,0))</f>
        <v>0</v>
      </c>
      <c r="L911" s="30">
        <v>1</v>
      </c>
      <c r="M911" s="41">
        <v>0</v>
      </c>
      <c r="N911" s="15">
        <f t="shared" si="50"/>
        <v>0</v>
      </c>
      <c r="O911" s="15">
        <f t="shared" si="51"/>
        <v>0</v>
      </c>
      <c r="P911" s="15">
        <f>IF(G911,INDEX(monster!$J$2:$J$606,MATCH(skill!C911,monster!$A$2:$A$606,0)),Q911)</f>
        <v>0</v>
      </c>
      <c r="Q911" s="70"/>
      <c r="R911" s="33">
        <v>0</v>
      </c>
    </row>
    <row r="912" spans="1:18" s="38" customFormat="1" x14ac:dyDescent="0.15">
      <c r="A912" s="32">
        <v>10956</v>
      </c>
      <c r="B912" s="32" t="s">
        <v>1217</v>
      </c>
      <c r="C912" s="31">
        <v>1392</v>
      </c>
      <c r="D912" s="32">
        <v>8</v>
      </c>
      <c r="E912" s="15">
        <f>INDEX(monster!$H$2:$H$617,MATCH(skill!C912,monster!$A$2:$A$617,0))</f>
        <v>96.31</v>
      </c>
      <c r="F912" s="15">
        <f>INDEX(monster!$I$2:$I$617,MATCH(C912,monster!$A$2:$A$617,0))</f>
        <v>2.89</v>
      </c>
      <c r="G912" s="15" t="b">
        <f t="shared" si="49"/>
        <v>0</v>
      </c>
      <c r="H912" s="31">
        <v>0</v>
      </c>
      <c r="I912" s="15">
        <f>IF(H912&gt;0,HLOOKUP(R912/100,数值规划表!$B$37:$AA$39,3),1)</f>
        <v>1</v>
      </c>
      <c r="J912" s="31" t="s">
        <v>1672</v>
      </c>
      <c r="K912" s="15">
        <f>INDEX(数值规划表!$B$15:$B$18,MATCH(J912,攻击范围,0))</f>
        <v>0</v>
      </c>
      <c r="L912" s="30">
        <v>1</v>
      </c>
      <c r="M912" s="41">
        <v>0</v>
      </c>
      <c r="N912" s="15">
        <f t="shared" si="50"/>
        <v>0</v>
      </c>
      <c r="O912" s="15">
        <f t="shared" si="51"/>
        <v>0</v>
      </c>
      <c r="P912" s="15">
        <f>IF(G912,INDEX(monster!$J$2:$J$606,MATCH(skill!C912,monster!$A$2:$A$606,0)),Q912)</f>
        <v>0</v>
      </c>
      <c r="Q912" s="70"/>
      <c r="R912" s="33">
        <v>0</v>
      </c>
    </row>
    <row r="913" spans="1:18" s="38" customFormat="1" x14ac:dyDescent="0.15">
      <c r="A913" s="32">
        <v>10957</v>
      </c>
      <c r="B913" s="32" t="s">
        <v>1218</v>
      </c>
      <c r="C913" s="31">
        <v>1393</v>
      </c>
      <c r="D913" s="32">
        <v>9</v>
      </c>
      <c r="E913" s="15">
        <f>INDEX(monster!$H$2:$H$617,MATCH(skill!C913,monster!$A$2:$A$617,0))</f>
        <v>107.87</v>
      </c>
      <c r="F913" s="15">
        <f>INDEX(monster!$I$2:$I$617,MATCH(C913,monster!$A$2:$A$617,0))</f>
        <v>3.24</v>
      </c>
      <c r="G913" s="15" t="b">
        <f t="shared" si="49"/>
        <v>0</v>
      </c>
      <c r="H913" s="31">
        <v>0</v>
      </c>
      <c r="I913" s="15">
        <f>IF(H913&gt;0,HLOOKUP(R913/100,数值规划表!$B$37:$AA$39,3),1)</f>
        <v>1</v>
      </c>
      <c r="J913" s="31" t="s">
        <v>1672</v>
      </c>
      <c r="K913" s="15">
        <f>INDEX(数值规划表!$B$15:$B$18,MATCH(J913,攻击范围,0))</f>
        <v>0</v>
      </c>
      <c r="L913" s="30">
        <v>1</v>
      </c>
      <c r="M913" s="41">
        <v>0</v>
      </c>
      <c r="N913" s="15">
        <f t="shared" si="50"/>
        <v>0</v>
      </c>
      <c r="O913" s="15">
        <f t="shared" si="51"/>
        <v>0</v>
      </c>
      <c r="P913" s="15">
        <f>IF(G913,INDEX(monster!$J$2:$J$606,MATCH(skill!C913,monster!$A$2:$A$606,0)),Q913)</f>
        <v>0</v>
      </c>
      <c r="Q913" s="70"/>
      <c r="R913" s="33">
        <v>0</v>
      </c>
    </row>
    <row r="914" spans="1:18" s="38" customFormat="1" x14ac:dyDescent="0.15">
      <c r="A914" s="32">
        <v>10958</v>
      </c>
      <c r="B914" s="32" t="s">
        <v>1219</v>
      </c>
      <c r="C914" s="31">
        <v>1394</v>
      </c>
      <c r="D914" s="32">
        <v>10</v>
      </c>
      <c r="E914" s="15">
        <f>INDEX(monster!$H$2:$H$617,MATCH(skill!C914,monster!$A$2:$A$617,0))</f>
        <v>120.82</v>
      </c>
      <c r="F914" s="15">
        <f>INDEX(monster!$I$2:$I$617,MATCH(C914,monster!$A$2:$A$617,0))</f>
        <v>3.62</v>
      </c>
      <c r="G914" s="15" t="b">
        <f t="shared" si="49"/>
        <v>0</v>
      </c>
      <c r="H914" s="31">
        <v>0</v>
      </c>
      <c r="I914" s="15">
        <f>IF(H914&gt;0,HLOOKUP(R914/100,数值规划表!$B$37:$AA$39,3),1)</f>
        <v>1</v>
      </c>
      <c r="J914" s="31" t="s">
        <v>1672</v>
      </c>
      <c r="K914" s="15">
        <f>INDEX(数值规划表!$B$15:$B$18,MATCH(J914,攻击范围,0))</f>
        <v>0</v>
      </c>
      <c r="L914" s="30">
        <v>1</v>
      </c>
      <c r="M914" s="41">
        <v>0</v>
      </c>
      <c r="N914" s="15">
        <f t="shared" si="50"/>
        <v>0</v>
      </c>
      <c r="O914" s="15">
        <f t="shared" si="51"/>
        <v>0</v>
      </c>
      <c r="P914" s="15">
        <f>IF(G914,INDEX(monster!$J$2:$J$606,MATCH(skill!C914,monster!$A$2:$A$606,0)),Q914)</f>
        <v>0</v>
      </c>
      <c r="Q914" s="70"/>
      <c r="R914" s="33">
        <v>0</v>
      </c>
    </row>
    <row r="915" spans="1:18" s="38" customFormat="1" x14ac:dyDescent="0.15">
      <c r="A915" s="32">
        <v>10959</v>
      </c>
      <c r="B915" s="32" t="s">
        <v>1575</v>
      </c>
      <c r="C915" s="31">
        <v>1283</v>
      </c>
      <c r="D915" s="32">
        <v>0</v>
      </c>
      <c r="E915" s="15">
        <f>INDEX(monster!$H$2:$H$617,MATCH(skill!C915,monster!$A$2:$A$617,0))</f>
        <v>121.31</v>
      </c>
      <c r="F915" s="15">
        <f>INDEX(monster!$I$2:$I$617,MATCH(C915,monster!$A$2:$A$617,0))</f>
        <v>3.64</v>
      </c>
      <c r="G915" s="15" t="b">
        <f t="shared" si="49"/>
        <v>1</v>
      </c>
      <c r="H915" s="31">
        <v>1</v>
      </c>
      <c r="I915" s="15">
        <f>IF(H915&gt;0,HLOOKUP(R915/100,数值规划表!$B$37:$AA$39,3),1)</f>
        <v>1.296</v>
      </c>
      <c r="J915" s="31" t="s">
        <v>1625</v>
      </c>
      <c r="K915" s="15">
        <f>INDEX(数值规划表!$B$15:$B$18,MATCH(J915,攻击范围,0))</f>
        <v>1</v>
      </c>
      <c r="L915" s="30">
        <v>1</v>
      </c>
      <c r="M915" s="41">
        <v>0</v>
      </c>
      <c r="N915" s="15">
        <f t="shared" si="50"/>
        <v>157</v>
      </c>
      <c r="O915" s="15">
        <f t="shared" si="51"/>
        <v>4.72</v>
      </c>
      <c r="P915" s="15">
        <f>IF(G915,INDEX(monster!$J$2:$J$606,MATCH(skill!C915,monster!$A$2:$A$606,0)),Q915)</f>
        <v>1.2</v>
      </c>
      <c r="Q915" s="70"/>
      <c r="R915" s="33">
        <v>120</v>
      </c>
    </row>
    <row r="916" spans="1:18" s="38" customFormat="1" x14ac:dyDescent="0.15">
      <c r="A916" s="32">
        <v>10960</v>
      </c>
      <c r="B916" s="32" t="s">
        <v>1576</v>
      </c>
      <c r="C916" s="31">
        <v>1284</v>
      </c>
      <c r="D916" s="32">
        <v>1</v>
      </c>
      <c r="E916" s="15">
        <f>INDEX(monster!$H$2:$H$617,MATCH(skill!C916,monster!$A$2:$A$617,0))</f>
        <v>135.87</v>
      </c>
      <c r="F916" s="15">
        <f>INDEX(monster!$I$2:$I$617,MATCH(C916,monster!$A$2:$A$617,0))</f>
        <v>4.08</v>
      </c>
      <c r="G916" s="15" t="b">
        <f t="shared" si="49"/>
        <v>1</v>
      </c>
      <c r="H916" s="31">
        <v>1</v>
      </c>
      <c r="I916" s="15">
        <f>IF(H916&gt;0,HLOOKUP(R916/100,数值规划表!$B$37:$AA$39,3),1)</f>
        <v>1.296</v>
      </c>
      <c r="J916" s="31" t="s">
        <v>1625</v>
      </c>
      <c r="K916" s="15">
        <f>INDEX(数值规划表!$B$15:$B$18,MATCH(J916,攻击范围,0))</f>
        <v>1</v>
      </c>
      <c r="L916" s="30">
        <v>1</v>
      </c>
      <c r="M916" s="41">
        <v>0</v>
      </c>
      <c r="N916" s="15">
        <f t="shared" si="50"/>
        <v>176</v>
      </c>
      <c r="O916" s="15">
        <f t="shared" si="51"/>
        <v>5.29</v>
      </c>
      <c r="P916" s="15">
        <f>IF(G916,INDEX(monster!$J$2:$J$606,MATCH(skill!C916,monster!$A$2:$A$606,0)),Q916)</f>
        <v>1.2</v>
      </c>
      <c r="Q916" s="70"/>
      <c r="R916" s="33">
        <v>120</v>
      </c>
    </row>
    <row r="917" spans="1:18" s="38" customFormat="1" x14ac:dyDescent="0.15">
      <c r="A917" s="32">
        <v>10961</v>
      </c>
      <c r="B917" s="32" t="s">
        <v>1220</v>
      </c>
      <c r="C917" s="31">
        <v>1285</v>
      </c>
      <c r="D917" s="32">
        <v>2</v>
      </c>
      <c r="E917" s="15">
        <f>INDEX(monster!$H$2:$H$617,MATCH(skill!C917,monster!$A$2:$A$617,0))</f>
        <v>152.16999999999999</v>
      </c>
      <c r="F917" s="15">
        <f>INDEX(monster!$I$2:$I$617,MATCH(C917,monster!$A$2:$A$617,0))</f>
        <v>4.57</v>
      </c>
      <c r="G917" s="15" t="b">
        <f t="shared" si="49"/>
        <v>1</v>
      </c>
      <c r="H917" s="31">
        <v>1</v>
      </c>
      <c r="I917" s="15">
        <f>IF(H917&gt;0,HLOOKUP(R917/100,数值规划表!$B$37:$AA$39,3),1)</f>
        <v>1.296</v>
      </c>
      <c r="J917" s="31" t="s">
        <v>1625</v>
      </c>
      <c r="K917" s="15">
        <f>INDEX(数值规划表!$B$15:$B$18,MATCH(J917,攻击范围,0))</f>
        <v>1</v>
      </c>
      <c r="L917" s="30">
        <v>1</v>
      </c>
      <c r="M917" s="41">
        <v>0</v>
      </c>
      <c r="N917" s="15">
        <f t="shared" si="50"/>
        <v>197</v>
      </c>
      <c r="O917" s="15">
        <f t="shared" si="51"/>
        <v>5.92</v>
      </c>
      <c r="P917" s="15">
        <f>IF(G917,INDEX(monster!$J$2:$J$606,MATCH(skill!C917,monster!$A$2:$A$606,0)),Q917)</f>
        <v>1.2</v>
      </c>
      <c r="Q917" s="70"/>
      <c r="R917" s="33">
        <v>120</v>
      </c>
    </row>
    <row r="918" spans="1:18" s="38" customFormat="1" x14ac:dyDescent="0.15">
      <c r="A918" s="32">
        <v>10962</v>
      </c>
      <c r="B918" s="32" t="s">
        <v>1221</v>
      </c>
      <c r="C918" s="31">
        <v>1286</v>
      </c>
      <c r="D918" s="32">
        <v>3</v>
      </c>
      <c r="E918" s="15">
        <f>INDEX(monster!$H$2:$H$617,MATCH(skill!C918,monster!$A$2:$A$617,0))</f>
        <v>170.43</v>
      </c>
      <c r="F918" s="15">
        <f>INDEX(monster!$I$2:$I$617,MATCH(C918,monster!$A$2:$A$617,0))</f>
        <v>5.1100000000000003</v>
      </c>
      <c r="G918" s="15" t="b">
        <f t="shared" si="49"/>
        <v>1</v>
      </c>
      <c r="H918" s="31">
        <v>1</v>
      </c>
      <c r="I918" s="15">
        <f>IF(H918&gt;0,HLOOKUP(R918/100,数值规划表!$B$37:$AA$39,3),1)</f>
        <v>1.296</v>
      </c>
      <c r="J918" s="31" t="s">
        <v>1625</v>
      </c>
      <c r="K918" s="15">
        <f>INDEX(数值规划表!$B$15:$B$18,MATCH(J918,攻击范围,0))</f>
        <v>1</v>
      </c>
      <c r="L918" s="30">
        <v>1</v>
      </c>
      <c r="M918" s="41">
        <v>0</v>
      </c>
      <c r="N918" s="15">
        <f t="shared" si="50"/>
        <v>221</v>
      </c>
      <c r="O918" s="15">
        <f t="shared" si="51"/>
        <v>6.62</v>
      </c>
      <c r="P918" s="15">
        <f>IF(G918,INDEX(monster!$J$2:$J$606,MATCH(skill!C918,monster!$A$2:$A$606,0)),Q918)</f>
        <v>1.2</v>
      </c>
      <c r="Q918" s="70"/>
      <c r="R918" s="33">
        <v>120</v>
      </c>
    </row>
    <row r="919" spans="1:18" s="38" customFormat="1" x14ac:dyDescent="0.15">
      <c r="A919" s="32">
        <v>10963</v>
      </c>
      <c r="B919" s="32" t="s">
        <v>1222</v>
      </c>
      <c r="C919" s="31">
        <v>1287</v>
      </c>
      <c r="D919" s="32">
        <v>4</v>
      </c>
      <c r="E919" s="15">
        <f>INDEX(monster!$H$2:$H$617,MATCH(skill!C919,monster!$A$2:$A$617,0))</f>
        <v>190.88</v>
      </c>
      <c r="F919" s="15">
        <f>INDEX(monster!$I$2:$I$617,MATCH(C919,monster!$A$2:$A$617,0))</f>
        <v>5.73</v>
      </c>
      <c r="G919" s="15" t="b">
        <f t="shared" si="49"/>
        <v>1</v>
      </c>
      <c r="H919" s="31">
        <v>1</v>
      </c>
      <c r="I919" s="15">
        <f>IF(H919&gt;0,HLOOKUP(R919/100,数值规划表!$B$37:$AA$39,3),1)</f>
        <v>1.296</v>
      </c>
      <c r="J919" s="31" t="s">
        <v>1625</v>
      </c>
      <c r="K919" s="15">
        <f>INDEX(数值规划表!$B$15:$B$18,MATCH(J919,攻击范围,0))</f>
        <v>1</v>
      </c>
      <c r="L919" s="30">
        <v>1</v>
      </c>
      <c r="M919" s="41">
        <v>0</v>
      </c>
      <c r="N919" s="15">
        <f t="shared" si="50"/>
        <v>247</v>
      </c>
      <c r="O919" s="15">
        <f t="shared" si="51"/>
        <v>7.43</v>
      </c>
      <c r="P919" s="15">
        <f>IF(G919,INDEX(monster!$J$2:$J$606,MATCH(skill!C919,monster!$A$2:$A$606,0)),Q919)</f>
        <v>1.2</v>
      </c>
      <c r="Q919" s="70"/>
      <c r="R919" s="33">
        <v>120</v>
      </c>
    </row>
    <row r="920" spans="1:18" s="38" customFormat="1" x14ac:dyDescent="0.15">
      <c r="A920" s="32">
        <v>10964</v>
      </c>
      <c r="B920" s="32" t="s">
        <v>1223</v>
      </c>
      <c r="C920" s="31">
        <v>1288</v>
      </c>
      <c r="D920" s="32">
        <v>5</v>
      </c>
      <c r="E920" s="15">
        <f>INDEX(monster!$H$2:$H$617,MATCH(skill!C920,monster!$A$2:$A$617,0))</f>
        <v>213.79</v>
      </c>
      <c r="F920" s="15">
        <f>INDEX(monster!$I$2:$I$617,MATCH(C920,monster!$A$2:$A$617,0))</f>
        <v>6.41</v>
      </c>
      <c r="G920" s="15" t="b">
        <f t="shared" si="49"/>
        <v>1</v>
      </c>
      <c r="H920" s="31">
        <v>1</v>
      </c>
      <c r="I920" s="15">
        <f>IF(H920&gt;0,HLOOKUP(R920/100,数值规划表!$B$37:$AA$39,3),1)</f>
        <v>1.296</v>
      </c>
      <c r="J920" s="31" t="s">
        <v>1625</v>
      </c>
      <c r="K920" s="15">
        <f>INDEX(数值规划表!$B$15:$B$18,MATCH(J920,攻击范围,0))</f>
        <v>1</v>
      </c>
      <c r="L920" s="30">
        <v>1</v>
      </c>
      <c r="M920" s="41">
        <v>0</v>
      </c>
      <c r="N920" s="15">
        <f t="shared" si="50"/>
        <v>277</v>
      </c>
      <c r="O920" s="15">
        <f t="shared" si="51"/>
        <v>8.31</v>
      </c>
      <c r="P920" s="15">
        <f>IF(G920,INDEX(monster!$J$2:$J$606,MATCH(skill!C920,monster!$A$2:$A$606,0)),Q920)</f>
        <v>1.2</v>
      </c>
      <c r="Q920" s="70"/>
      <c r="R920" s="33">
        <v>120</v>
      </c>
    </row>
    <row r="921" spans="1:18" s="38" customFormat="1" x14ac:dyDescent="0.15">
      <c r="A921" s="32">
        <v>10965</v>
      </c>
      <c r="B921" s="32" t="s">
        <v>1224</v>
      </c>
      <c r="C921" s="31">
        <v>1289</v>
      </c>
      <c r="D921" s="32">
        <v>6</v>
      </c>
      <c r="E921" s="15">
        <f>INDEX(monster!$H$2:$H$617,MATCH(skill!C921,monster!$A$2:$A$617,0))</f>
        <v>239.44</v>
      </c>
      <c r="F921" s="15">
        <f>INDEX(monster!$I$2:$I$617,MATCH(C921,monster!$A$2:$A$617,0))</f>
        <v>7.18</v>
      </c>
      <c r="G921" s="15" t="b">
        <f t="shared" si="49"/>
        <v>1</v>
      </c>
      <c r="H921" s="31">
        <v>1</v>
      </c>
      <c r="I921" s="15">
        <f>IF(H921&gt;0,HLOOKUP(R921/100,数值规划表!$B$37:$AA$39,3),1)</f>
        <v>1.296</v>
      </c>
      <c r="J921" s="31" t="s">
        <v>1625</v>
      </c>
      <c r="K921" s="15">
        <f>INDEX(数值规划表!$B$15:$B$18,MATCH(J921,攻击范围,0))</f>
        <v>1</v>
      </c>
      <c r="L921" s="30">
        <v>1</v>
      </c>
      <c r="M921" s="41">
        <v>0</v>
      </c>
      <c r="N921" s="15">
        <f t="shared" si="50"/>
        <v>310</v>
      </c>
      <c r="O921" s="15">
        <f t="shared" si="51"/>
        <v>9.31</v>
      </c>
      <c r="P921" s="15">
        <f>IF(G921,INDEX(monster!$J$2:$J$606,MATCH(skill!C921,monster!$A$2:$A$606,0)),Q921)</f>
        <v>1.2</v>
      </c>
      <c r="Q921" s="70"/>
      <c r="R921" s="33">
        <v>120</v>
      </c>
    </row>
    <row r="922" spans="1:18" s="38" customFormat="1" x14ac:dyDescent="0.15">
      <c r="A922" s="32">
        <v>10966</v>
      </c>
      <c r="B922" s="32" t="s">
        <v>1225</v>
      </c>
      <c r="C922" s="31">
        <v>1290</v>
      </c>
      <c r="D922" s="32">
        <v>7</v>
      </c>
      <c r="E922" s="15">
        <f>INDEX(monster!$H$2:$H$617,MATCH(skill!C922,monster!$A$2:$A$617,0))</f>
        <v>268.18</v>
      </c>
      <c r="F922" s="15">
        <f>INDEX(monster!$I$2:$I$617,MATCH(C922,monster!$A$2:$A$617,0))</f>
        <v>8.0500000000000007</v>
      </c>
      <c r="G922" s="15" t="b">
        <f t="shared" si="49"/>
        <v>1</v>
      </c>
      <c r="H922" s="31">
        <v>1</v>
      </c>
      <c r="I922" s="15">
        <f>IF(H922&gt;0,HLOOKUP(R922/100,数值规划表!$B$37:$AA$39,3),1)</f>
        <v>1.296</v>
      </c>
      <c r="J922" s="31" t="s">
        <v>1625</v>
      </c>
      <c r="K922" s="15">
        <f>INDEX(数值规划表!$B$15:$B$18,MATCH(J922,攻击范围,0))</f>
        <v>1</v>
      </c>
      <c r="L922" s="30">
        <v>1</v>
      </c>
      <c r="M922" s="41">
        <v>0</v>
      </c>
      <c r="N922" s="15">
        <f t="shared" si="50"/>
        <v>348</v>
      </c>
      <c r="O922" s="15">
        <f t="shared" si="51"/>
        <v>10.43</v>
      </c>
      <c r="P922" s="15">
        <f>IF(G922,INDEX(monster!$J$2:$J$606,MATCH(skill!C922,monster!$A$2:$A$606,0)),Q922)</f>
        <v>1.2</v>
      </c>
      <c r="Q922" s="70"/>
      <c r="R922" s="33">
        <v>120</v>
      </c>
    </row>
    <row r="923" spans="1:18" s="38" customFormat="1" x14ac:dyDescent="0.15">
      <c r="A923" s="32">
        <v>10967</v>
      </c>
      <c r="B923" s="32" t="s">
        <v>1226</v>
      </c>
      <c r="C923" s="31">
        <v>1291</v>
      </c>
      <c r="D923" s="32">
        <v>8</v>
      </c>
      <c r="E923" s="15">
        <f>INDEX(monster!$H$2:$H$617,MATCH(skill!C923,monster!$A$2:$A$617,0))</f>
        <v>300.36</v>
      </c>
      <c r="F923" s="15">
        <f>INDEX(monster!$I$2:$I$617,MATCH(C923,monster!$A$2:$A$617,0))</f>
        <v>9.01</v>
      </c>
      <c r="G923" s="15" t="b">
        <f t="shared" si="49"/>
        <v>1</v>
      </c>
      <c r="H923" s="31">
        <v>1</v>
      </c>
      <c r="I923" s="15">
        <f>IF(H923&gt;0,HLOOKUP(R923/100,数值规划表!$B$37:$AA$39,3),1)</f>
        <v>1.296</v>
      </c>
      <c r="J923" s="31" t="s">
        <v>1625</v>
      </c>
      <c r="K923" s="15">
        <f>INDEX(数值规划表!$B$15:$B$18,MATCH(J923,攻击范围,0))</f>
        <v>1</v>
      </c>
      <c r="L923" s="30">
        <v>1</v>
      </c>
      <c r="M923" s="41">
        <v>0</v>
      </c>
      <c r="N923" s="15">
        <f t="shared" si="50"/>
        <v>389</v>
      </c>
      <c r="O923" s="15">
        <f t="shared" si="51"/>
        <v>11.68</v>
      </c>
      <c r="P923" s="15">
        <f>IF(G923,INDEX(monster!$J$2:$J$606,MATCH(skill!C923,monster!$A$2:$A$606,0)),Q923)</f>
        <v>1.2</v>
      </c>
      <c r="Q923" s="70"/>
      <c r="R923" s="33">
        <v>120</v>
      </c>
    </row>
    <row r="924" spans="1:18" s="38" customFormat="1" x14ac:dyDescent="0.15">
      <c r="A924" s="32">
        <v>10968</v>
      </c>
      <c r="B924" s="32" t="s">
        <v>1227</v>
      </c>
      <c r="C924" s="31">
        <v>1292</v>
      </c>
      <c r="D924" s="32">
        <v>9</v>
      </c>
      <c r="E924" s="15">
        <f>INDEX(monster!$H$2:$H$617,MATCH(skill!C924,monster!$A$2:$A$617,0))</f>
        <v>336.4</v>
      </c>
      <c r="F924" s="15">
        <f>INDEX(monster!$I$2:$I$617,MATCH(C924,monster!$A$2:$A$617,0))</f>
        <v>10.09</v>
      </c>
      <c r="G924" s="15" t="b">
        <f t="shared" si="49"/>
        <v>1</v>
      </c>
      <c r="H924" s="31">
        <v>1</v>
      </c>
      <c r="I924" s="15">
        <f>IF(H924&gt;0,HLOOKUP(R924/100,数值规划表!$B$37:$AA$39,3),1)</f>
        <v>1.296</v>
      </c>
      <c r="J924" s="31" t="s">
        <v>1625</v>
      </c>
      <c r="K924" s="15">
        <f>INDEX(数值规划表!$B$15:$B$18,MATCH(J924,攻击范围,0))</f>
        <v>1</v>
      </c>
      <c r="L924" s="30">
        <v>1</v>
      </c>
      <c r="M924" s="41">
        <v>0</v>
      </c>
      <c r="N924" s="15">
        <f t="shared" si="50"/>
        <v>436</v>
      </c>
      <c r="O924" s="15">
        <f t="shared" si="51"/>
        <v>13.08</v>
      </c>
      <c r="P924" s="15">
        <f>IF(G924,INDEX(monster!$J$2:$J$606,MATCH(skill!C924,monster!$A$2:$A$606,0)),Q924)</f>
        <v>1.2</v>
      </c>
      <c r="Q924" s="70"/>
      <c r="R924" s="33">
        <v>120</v>
      </c>
    </row>
    <row r="925" spans="1:18" s="38" customFormat="1" x14ac:dyDescent="0.15">
      <c r="A925" s="32">
        <v>10969</v>
      </c>
      <c r="B925" s="32" t="s">
        <v>1228</v>
      </c>
      <c r="C925" s="31">
        <v>1293</v>
      </c>
      <c r="D925" s="32">
        <v>10</v>
      </c>
      <c r="E925" s="15">
        <f>INDEX(monster!$H$2:$H$617,MATCH(skill!C925,monster!$A$2:$A$617,0))</f>
        <v>376.77</v>
      </c>
      <c r="F925" s="15">
        <f>INDEX(monster!$I$2:$I$617,MATCH(C925,monster!$A$2:$A$617,0))</f>
        <v>11.3</v>
      </c>
      <c r="G925" s="15" t="b">
        <f t="shared" ref="G925:G988" si="52">ISNUMBER(FIND("普攻",B925))</f>
        <v>1</v>
      </c>
      <c r="H925" s="31">
        <v>1</v>
      </c>
      <c r="I925" s="15">
        <f>IF(H925&gt;0,HLOOKUP(R925/100,数值规划表!$B$37:$AA$39,3),1)</f>
        <v>1.296</v>
      </c>
      <c r="J925" s="31" t="s">
        <v>1625</v>
      </c>
      <c r="K925" s="15">
        <f>INDEX(数值规划表!$B$15:$B$18,MATCH(J925,攻击范围,0))</f>
        <v>1</v>
      </c>
      <c r="L925" s="30">
        <v>1</v>
      </c>
      <c r="M925" s="41">
        <v>0</v>
      </c>
      <c r="N925" s="15">
        <f t="shared" si="50"/>
        <v>488</v>
      </c>
      <c r="O925" s="15">
        <f t="shared" si="51"/>
        <v>14.64</v>
      </c>
      <c r="P925" s="15">
        <f>IF(G925,INDEX(monster!$J$2:$J$606,MATCH(skill!C925,monster!$A$2:$A$606,0)),Q925)</f>
        <v>1.2</v>
      </c>
      <c r="Q925" s="70"/>
      <c r="R925" s="33">
        <v>120</v>
      </c>
    </row>
    <row r="926" spans="1:18" s="38" customFormat="1" x14ac:dyDescent="0.15">
      <c r="A926" s="32">
        <v>10970</v>
      </c>
      <c r="B926" s="32" t="s">
        <v>1577</v>
      </c>
      <c r="C926" s="31">
        <v>1517</v>
      </c>
      <c r="D926" s="32">
        <v>0</v>
      </c>
      <c r="E926" s="15">
        <f>INDEX(monster!$H$2:$H$617,MATCH(skill!C926,monster!$A$2:$A$617,0))</f>
        <v>106.58</v>
      </c>
      <c r="F926" s="15">
        <f>INDEX(monster!$I$2:$I$617,MATCH(C926,monster!$A$2:$A$617,0))</f>
        <v>3.2</v>
      </c>
      <c r="G926" s="15" t="b">
        <f t="shared" si="52"/>
        <v>1</v>
      </c>
      <c r="H926" s="31">
        <v>1</v>
      </c>
      <c r="I926" s="15">
        <f>IF(H926&gt;0,HLOOKUP(R926/100,数值规划表!$B$37:$AA$39,3),1)</f>
        <v>1.296</v>
      </c>
      <c r="J926" s="31" t="s">
        <v>1625</v>
      </c>
      <c r="K926" s="15">
        <f>INDEX(数值规划表!$B$15:$B$18,MATCH(J926,攻击范围,0))</f>
        <v>1</v>
      </c>
      <c r="L926" s="30">
        <v>1</v>
      </c>
      <c r="M926" s="41">
        <v>0</v>
      </c>
      <c r="N926" s="15">
        <f t="shared" si="50"/>
        <v>138</v>
      </c>
      <c r="O926" s="15">
        <f t="shared" si="51"/>
        <v>4.1500000000000004</v>
      </c>
      <c r="P926" s="15">
        <f>IF(G926,INDEX(monster!$J$2:$J$606,MATCH(skill!C926,monster!$A$2:$A$606,0)),Q926)</f>
        <v>1.2</v>
      </c>
      <c r="Q926" s="70"/>
      <c r="R926" s="33">
        <v>120</v>
      </c>
    </row>
    <row r="927" spans="1:18" s="38" customFormat="1" x14ac:dyDescent="0.15">
      <c r="A927" s="32">
        <v>10971</v>
      </c>
      <c r="B927" s="32" t="s">
        <v>1578</v>
      </c>
      <c r="C927" s="31">
        <v>1518</v>
      </c>
      <c r="D927" s="32">
        <v>1</v>
      </c>
      <c r="E927" s="15">
        <f>INDEX(monster!$H$2:$H$617,MATCH(skill!C927,monster!$A$2:$A$617,0))</f>
        <v>119.37</v>
      </c>
      <c r="F927" s="15">
        <f>INDEX(monster!$I$2:$I$617,MATCH(C927,monster!$A$2:$A$617,0))</f>
        <v>3.58</v>
      </c>
      <c r="G927" s="15" t="b">
        <f t="shared" si="52"/>
        <v>1</v>
      </c>
      <c r="H927" s="31">
        <v>1</v>
      </c>
      <c r="I927" s="15">
        <f>IF(H927&gt;0,HLOOKUP(R927/100,数值规划表!$B$37:$AA$39,3),1)</f>
        <v>1.296</v>
      </c>
      <c r="J927" s="31" t="s">
        <v>1625</v>
      </c>
      <c r="K927" s="15">
        <f>INDEX(数值规划表!$B$15:$B$18,MATCH(J927,攻击范围,0))</f>
        <v>1</v>
      </c>
      <c r="L927" s="30">
        <v>1</v>
      </c>
      <c r="M927" s="41">
        <v>0</v>
      </c>
      <c r="N927" s="15">
        <f t="shared" si="50"/>
        <v>155</v>
      </c>
      <c r="O927" s="15">
        <f t="shared" si="51"/>
        <v>4.6399999999999997</v>
      </c>
      <c r="P927" s="15">
        <f>IF(G927,INDEX(monster!$J$2:$J$606,MATCH(skill!C927,monster!$A$2:$A$606,0)),Q927)</f>
        <v>1.2</v>
      </c>
      <c r="Q927" s="70"/>
      <c r="R927" s="33">
        <v>120</v>
      </c>
    </row>
    <row r="928" spans="1:18" s="38" customFormat="1" x14ac:dyDescent="0.15">
      <c r="A928" s="32">
        <v>10972</v>
      </c>
      <c r="B928" s="32" t="s">
        <v>1229</v>
      </c>
      <c r="C928" s="31">
        <v>1519</v>
      </c>
      <c r="D928" s="32">
        <v>2</v>
      </c>
      <c r="E928" s="15">
        <f>INDEX(monster!$H$2:$H$617,MATCH(skill!C928,monster!$A$2:$A$617,0))</f>
        <v>133.69</v>
      </c>
      <c r="F928" s="15">
        <f>INDEX(monster!$I$2:$I$617,MATCH(C928,monster!$A$2:$A$617,0))</f>
        <v>4.01</v>
      </c>
      <c r="G928" s="15" t="b">
        <f t="shared" si="52"/>
        <v>1</v>
      </c>
      <c r="H928" s="31">
        <v>1</v>
      </c>
      <c r="I928" s="15">
        <f>IF(H928&gt;0,HLOOKUP(R928/100,数值规划表!$B$37:$AA$39,3),1)</f>
        <v>1.296</v>
      </c>
      <c r="J928" s="31" t="s">
        <v>1625</v>
      </c>
      <c r="K928" s="15">
        <f>INDEX(数值规划表!$B$15:$B$18,MATCH(J928,攻击范围,0))</f>
        <v>1</v>
      </c>
      <c r="L928" s="30">
        <v>1</v>
      </c>
      <c r="M928" s="41">
        <v>0</v>
      </c>
      <c r="N928" s="15">
        <f t="shared" si="50"/>
        <v>173</v>
      </c>
      <c r="O928" s="15">
        <f t="shared" si="51"/>
        <v>5.2</v>
      </c>
      <c r="P928" s="15">
        <f>IF(G928,INDEX(monster!$J$2:$J$606,MATCH(skill!C928,monster!$A$2:$A$606,0)),Q928)</f>
        <v>1.2</v>
      </c>
      <c r="Q928" s="70"/>
      <c r="R928" s="33">
        <v>120</v>
      </c>
    </row>
    <row r="929" spans="1:18" s="38" customFormat="1" x14ac:dyDescent="0.15">
      <c r="A929" s="32">
        <v>10973</v>
      </c>
      <c r="B929" s="32" t="s">
        <v>1230</v>
      </c>
      <c r="C929" s="31">
        <v>1520</v>
      </c>
      <c r="D929" s="32">
        <v>3</v>
      </c>
      <c r="E929" s="15">
        <f>INDEX(monster!$H$2:$H$617,MATCH(skill!C929,monster!$A$2:$A$617,0))</f>
        <v>149.74</v>
      </c>
      <c r="F929" s="15">
        <f>INDEX(monster!$I$2:$I$617,MATCH(C929,monster!$A$2:$A$617,0))</f>
        <v>4.49</v>
      </c>
      <c r="G929" s="15" t="b">
        <f t="shared" si="52"/>
        <v>1</v>
      </c>
      <c r="H929" s="31">
        <v>1</v>
      </c>
      <c r="I929" s="15">
        <f>IF(H929&gt;0,HLOOKUP(R929/100,数值规划表!$B$37:$AA$39,3),1)</f>
        <v>1.296</v>
      </c>
      <c r="J929" s="31" t="s">
        <v>1625</v>
      </c>
      <c r="K929" s="15">
        <f>INDEX(数值规划表!$B$15:$B$18,MATCH(J929,攻击范围,0))</f>
        <v>1</v>
      </c>
      <c r="L929" s="30">
        <v>1</v>
      </c>
      <c r="M929" s="41">
        <v>0</v>
      </c>
      <c r="N929" s="15">
        <f t="shared" si="50"/>
        <v>194</v>
      </c>
      <c r="O929" s="15">
        <f t="shared" si="51"/>
        <v>5.82</v>
      </c>
      <c r="P929" s="15">
        <f>IF(G929,INDEX(monster!$J$2:$J$606,MATCH(skill!C929,monster!$A$2:$A$606,0)),Q929)</f>
        <v>1.2</v>
      </c>
      <c r="Q929" s="70"/>
      <c r="R929" s="33">
        <v>120</v>
      </c>
    </row>
    <row r="930" spans="1:18" s="38" customFormat="1" x14ac:dyDescent="0.15">
      <c r="A930" s="32">
        <v>10974</v>
      </c>
      <c r="B930" s="32" t="s">
        <v>1231</v>
      </c>
      <c r="C930" s="31">
        <v>1521</v>
      </c>
      <c r="D930" s="32">
        <v>4</v>
      </c>
      <c r="E930" s="15">
        <f>INDEX(monster!$H$2:$H$617,MATCH(skill!C930,monster!$A$2:$A$617,0))</f>
        <v>167.71</v>
      </c>
      <c r="F930" s="15">
        <f>INDEX(monster!$I$2:$I$617,MATCH(C930,monster!$A$2:$A$617,0))</f>
        <v>5.03</v>
      </c>
      <c r="G930" s="15" t="b">
        <f t="shared" si="52"/>
        <v>1</v>
      </c>
      <c r="H930" s="31">
        <v>1</v>
      </c>
      <c r="I930" s="15">
        <f>IF(H930&gt;0,HLOOKUP(R930/100,数值规划表!$B$37:$AA$39,3),1)</f>
        <v>1.296</v>
      </c>
      <c r="J930" s="31" t="s">
        <v>1625</v>
      </c>
      <c r="K930" s="15">
        <f>INDEX(数值规划表!$B$15:$B$18,MATCH(J930,攻击范围,0))</f>
        <v>1</v>
      </c>
      <c r="L930" s="30">
        <v>1</v>
      </c>
      <c r="M930" s="41">
        <v>0</v>
      </c>
      <c r="N930" s="15">
        <f t="shared" si="50"/>
        <v>217</v>
      </c>
      <c r="O930" s="15">
        <f t="shared" si="51"/>
        <v>6.52</v>
      </c>
      <c r="P930" s="15">
        <f>IF(G930,INDEX(monster!$J$2:$J$606,MATCH(skill!C930,monster!$A$2:$A$606,0)),Q930)</f>
        <v>1.2</v>
      </c>
      <c r="Q930" s="70"/>
      <c r="R930" s="33">
        <v>120</v>
      </c>
    </row>
    <row r="931" spans="1:18" s="38" customFormat="1" x14ac:dyDescent="0.15">
      <c r="A931" s="32">
        <v>10975</v>
      </c>
      <c r="B931" s="32" t="s">
        <v>1232</v>
      </c>
      <c r="C931" s="31">
        <v>1522</v>
      </c>
      <c r="D931" s="32">
        <v>5</v>
      </c>
      <c r="E931" s="15">
        <f>INDEX(monster!$H$2:$H$617,MATCH(skill!C931,monster!$A$2:$A$617,0))</f>
        <v>187.83</v>
      </c>
      <c r="F931" s="15">
        <f>INDEX(monster!$I$2:$I$617,MATCH(C931,monster!$A$2:$A$617,0))</f>
        <v>5.63</v>
      </c>
      <c r="G931" s="15" t="b">
        <f t="shared" si="52"/>
        <v>1</v>
      </c>
      <c r="H931" s="31">
        <v>1</v>
      </c>
      <c r="I931" s="15">
        <f>IF(H931&gt;0,HLOOKUP(R931/100,数值规划表!$B$37:$AA$39,3),1)</f>
        <v>1.296</v>
      </c>
      <c r="J931" s="31" t="s">
        <v>1625</v>
      </c>
      <c r="K931" s="15">
        <f>INDEX(数值规划表!$B$15:$B$18,MATCH(J931,攻击范围,0))</f>
        <v>1</v>
      </c>
      <c r="L931" s="30">
        <v>1</v>
      </c>
      <c r="M931" s="41">
        <v>0</v>
      </c>
      <c r="N931" s="15">
        <f t="shared" si="50"/>
        <v>243</v>
      </c>
      <c r="O931" s="15">
        <f t="shared" si="51"/>
        <v>7.3</v>
      </c>
      <c r="P931" s="15">
        <f>IF(G931,INDEX(monster!$J$2:$J$606,MATCH(skill!C931,monster!$A$2:$A$606,0)),Q931)</f>
        <v>1.2</v>
      </c>
      <c r="Q931" s="70"/>
      <c r="R931" s="33">
        <v>120</v>
      </c>
    </row>
    <row r="932" spans="1:18" s="38" customFormat="1" x14ac:dyDescent="0.15">
      <c r="A932" s="32">
        <v>10976</v>
      </c>
      <c r="B932" s="32" t="s">
        <v>1233</v>
      </c>
      <c r="C932" s="31">
        <v>1523</v>
      </c>
      <c r="D932" s="32">
        <v>6</v>
      </c>
      <c r="E932" s="15">
        <f>INDEX(monster!$H$2:$H$617,MATCH(skill!C932,monster!$A$2:$A$617,0))</f>
        <v>210.37</v>
      </c>
      <c r="F932" s="15">
        <f>INDEX(monster!$I$2:$I$617,MATCH(C932,monster!$A$2:$A$617,0))</f>
        <v>6.31</v>
      </c>
      <c r="G932" s="15" t="b">
        <f t="shared" si="52"/>
        <v>1</v>
      </c>
      <c r="H932" s="31">
        <v>1</v>
      </c>
      <c r="I932" s="15">
        <f>IF(H932&gt;0,HLOOKUP(R932/100,数值规划表!$B$37:$AA$39,3),1)</f>
        <v>1.296</v>
      </c>
      <c r="J932" s="31" t="s">
        <v>1625</v>
      </c>
      <c r="K932" s="15">
        <f>INDEX(数值规划表!$B$15:$B$18,MATCH(J932,攻击范围,0))</f>
        <v>1</v>
      </c>
      <c r="L932" s="30">
        <v>1</v>
      </c>
      <c r="M932" s="41">
        <v>0</v>
      </c>
      <c r="N932" s="15">
        <f t="shared" si="50"/>
        <v>273</v>
      </c>
      <c r="O932" s="15">
        <f t="shared" si="51"/>
        <v>8.18</v>
      </c>
      <c r="P932" s="15">
        <f>IF(G932,INDEX(monster!$J$2:$J$606,MATCH(skill!C932,monster!$A$2:$A$606,0)),Q932)</f>
        <v>1.2</v>
      </c>
      <c r="Q932" s="70"/>
      <c r="R932" s="33">
        <v>120</v>
      </c>
    </row>
    <row r="933" spans="1:18" s="38" customFormat="1" x14ac:dyDescent="0.15">
      <c r="A933" s="32">
        <v>10977</v>
      </c>
      <c r="B933" s="32" t="s">
        <v>1234</v>
      </c>
      <c r="C933" s="31">
        <v>1524</v>
      </c>
      <c r="D933" s="32">
        <v>7</v>
      </c>
      <c r="E933" s="15">
        <f>INDEX(monster!$H$2:$H$617,MATCH(skill!C933,monster!$A$2:$A$617,0))</f>
        <v>235.61</v>
      </c>
      <c r="F933" s="15">
        <f>INDEX(monster!$I$2:$I$617,MATCH(C933,monster!$A$2:$A$617,0))</f>
        <v>7.07</v>
      </c>
      <c r="G933" s="15" t="b">
        <f t="shared" si="52"/>
        <v>1</v>
      </c>
      <c r="H933" s="31">
        <v>1</v>
      </c>
      <c r="I933" s="15">
        <f>IF(H933&gt;0,HLOOKUP(R933/100,数值规划表!$B$37:$AA$39,3),1)</f>
        <v>1.296</v>
      </c>
      <c r="J933" s="31" t="s">
        <v>1625</v>
      </c>
      <c r="K933" s="15">
        <f>INDEX(数值规划表!$B$15:$B$18,MATCH(J933,攻击范围,0))</f>
        <v>1</v>
      </c>
      <c r="L933" s="30">
        <v>1</v>
      </c>
      <c r="M933" s="41">
        <v>0</v>
      </c>
      <c r="N933" s="15">
        <f t="shared" si="50"/>
        <v>305</v>
      </c>
      <c r="O933" s="15">
        <f t="shared" si="51"/>
        <v>9.16</v>
      </c>
      <c r="P933" s="15">
        <f>IF(G933,INDEX(monster!$J$2:$J$606,MATCH(skill!C933,monster!$A$2:$A$606,0)),Q933)</f>
        <v>1.2</v>
      </c>
      <c r="Q933" s="70"/>
      <c r="R933" s="33">
        <v>120</v>
      </c>
    </row>
    <row r="934" spans="1:18" s="38" customFormat="1" x14ac:dyDescent="0.15">
      <c r="A934" s="32">
        <v>10978</v>
      </c>
      <c r="B934" s="32" t="s">
        <v>1235</v>
      </c>
      <c r="C934" s="31">
        <v>1525</v>
      </c>
      <c r="D934" s="32">
        <v>8</v>
      </c>
      <c r="E934" s="15">
        <f>INDEX(monster!$H$2:$H$617,MATCH(skill!C934,monster!$A$2:$A$617,0))</f>
        <v>263.89</v>
      </c>
      <c r="F934" s="15">
        <f>INDEX(monster!$I$2:$I$617,MATCH(C934,monster!$A$2:$A$617,0))</f>
        <v>7.92</v>
      </c>
      <c r="G934" s="15" t="b">
        <f t="shared" si="52"/>
        <v>1</v>
      </c>
      <c r="H934" s="31">
        <v>1</v>
      </c>
      <c r="I934" s="15">
        <f>IF(H934&gt;0,HLOOKUP(R934/100,数值规划表!$B$37:$AA$39,3),1)</f>
        <v>1.296</v>
      </c>
      <c r="J934" s="31" t="s">
        <v>1625</v>
      </c>
      <c r="K934" s="15">
        <f>INDEX(数值规划表!$B$15:$B$18,MATCH(J934,攻击范围,0))</f>
        <v>1</v>
      </c>
      <c r="L934" s="30">
        <v>1</v>
      </c>
      <c r="M934" s="41">
        <v>0</v>
      </c>
      <c r="N934" s="15">
        <f t="shared" si="50"/>
        <v>342</v>
      </c>
      <c r="O934" s="15">
        <f t="shared" si="51"/>
        <v>10.26</v>
      </c>
      <c r="P934" s="15">
        <f>IF(G934,INDEX(monster!$J$2:$J$606,MATCH(skill!C934,monster!$A$2:$A$606,0)),Q934)</f>
        <v>1.2</v>
      </c>
      <c r="Q934" s="70"/>
      <c r="R934" s="33">
        <v>120</v>
      </c>
    </row>
    <row r="935" spans="1:18" s="38" customFormat="1" x14ac:dyDescent="0.15">
      <c r="A935" s="32">
        <v>10979</v>
      </c>
      <c r="B935" s="32" t="s">
        <v>1236</v>
      </c>
      <c r="C935" s="31">
        <v>1526</v>
      </c>
      <c r="D935" s="32">
        <v>9</v>
      </c>
      <c r="E935" s="15">
        <f>INDEX(monster!$H$2:$H$617,MATCH(skill!C935,monster!$A$2:$A$617,0))</f>
        <v>295.55</v>
      </c>
      <c r="F935" s="15">
        <f>INDEX(monster!$I$2:$I$617,MATCH(C935,monster!$A$2:$A$617,0))</f>
        <v>8.8699999999999992</v>
      </c>
      <c r="G935" s="15" t="b">
        <f t="shared" si="52"/>
        <v>1</v>
      </c>
      <c r="H935" s="31">
        <v>1</v>
      </c>
      <c r="I935" s="15">
        <f>IF(H935&gt;0,HLOOKUP(R935/100,数值规划表!$B$37:$AA$39,3),1)</f>
        <v>1.296</v>
      </c>
      <c r="J935" s="31" t="s">
        <v>1625</v>
      </c>
      <c r="K935" s="15">
        <f>INDEX(数值规划表!$B$15:$B$18,MATCH(J935,攻击范围,0))</f>
        <v>1</v>
      </c>
      <c r="L935" s="30">
        <v>1</v>
      </c>
      <c r="M935" s="41">
        <v>0</v>
      </c>
      <c r="N935" s="15">
        <f t="shared" si="50"/>
        <v>383</v>
      </c>
      <c r="O935" s="15">
        <f t="shared" si="51"/>
        <v>11.5</v>
      </c>
      <c r="P935" s="15">
        <f>IF(G935,INDEX(monster!$J$2:$J$606,MATCH(skill!C935,monster!$A$2:$A$606,0)),Q935)</f>
        <v>1.2</v>
      </c>
      <c r="Q935" s="70"/>
      <c r="R935" s="33">
        <v>120</v>
      </c>
    </row>
    <row r="936" spans="1:18" s="38" customFormat="1" x14ac:dyDescent="0.15">
      <c r="A936" s="32">
        <v>10980</v>
      </c>
      <c r="B936" s="32" t="s">
        <v>1237</v>
      </c>
      <c r="C936" s="31">
        <v>1527</v>
      </c>
      <c r="D936" s="32">
        <v>10</v>
      </c>
      <c r="E936" s="15">
        <f>INDEX(monster!$H$2:$H$617,MATCH(skill!C936,monster!$A$2:$A$617,0))</f>
        <v>331.02</v>
      </c>
      <c r="F936" s="15">
        <f>INDEX(monster!$I$2:$I$617,MATCH(C936,monster!$A$2:$A$617,0))</f>
        <v>9.93</v>
      </c>
      <c r="G936" s="15" t="b">
        <f t="shared" si="52"/>
        <v>1</v>
      </c>
      <c r="H936" s="31">
        <v>1</v>
      </c>
      <c r="I936" s="15">
        <f>IF(H936&gt;0,HLOOKUP(R936/100,数值规划表!$B$37:$AA$39,3),1)</f>
        <v>1.296</v>
      </c>
      <c r="J936" s="31" t="s">
        <v>1625</v>
      </c>
      <c r="K936" s="15">
        <f>INDEX(数值规划表!$B$15:$B$18,MATCH(J936,攻击范围,0))</f>
        <v>1</v>
      </c>
      <c r="L936" s="30">
        <v>1</v>
      </c>
      <c r="M936" s="41">
        <v>0</v>
      </c>
      <c r="N936" s="15">
        <f t="shared" si="50"/>
        <v>429</v>
      </c>
      <c r="O936" s="15">
        <f t="shared" si="51"/>
        <v>12.87</v>
      </c>
      <c r="P936" s="15">
        <f>IF(G936,INDEX(monster!$J$2:$J$606,MATCH(skill!C936,monster!$A$2:$A$606,0)),Q936)</f>
        <v>1.2</v>
      </c>
      <c r="Q936" s="70"/>
      <c r="R936" s="33">
        <v>120</v>
      </c>
    </row>
    <row r="937" spans="1:18" s="38" customFormat="1" x14ac:dyDescent="0.15">
      <c r="A937" s="32">
        <v>10981</v>
      </c>
      <c r="B937" s="32" t="s">
        <v>1579</v>
      </c>
      <c r="C937" s="31">
        <v>1528</v>
      </c>
      <c r="D937" s="32">
        <v>0</v>
      </c>
      <c r="E937" s="15">
        <f>INDEX(monster!$H$2:$H$617,MATCH(skill!C937,monster!$A$2:$A$617,0))</f>
        <v>72.48</v>
      </c>
      <c r="F937" s="15">
        <f>INDEX(monster!$I$2:$I$617,MATCH(C937,monster!$A$2:$A$617,0))</f>
        <v>2.17</v>
      </c>
      <c r="G937" s="15" t="b">
        <f t="shared" si="52"/>
        <v>1</v>
      </c>
      <c r="H937" s="31">
        <v>1</v>
      </c>
      <c r="I937" s="15">
        <f>IF(H937&gt;0,HLOOKUP(R937/100,数值规划表!$B$37:$AA$39,3),1)</f>
        <v>1.296</v>
      </c>
      <c r="J937" s="31" t="s">
        <v>1625</v>
      </c>
      <c r="K937" s="15">
        <f>INDEX(数值规划表!$B$15:$B$18,MATCH(J937,攻击范围,0))</f>
        <v>1</v>
      </c>
      <c r="L937" s="30">
        <v>1</v>
      </c>
      <c r="M937" s="41">
        <v>0</v>
      </c>
      <c r="N937" s="15">
        <f t="shared" si="50"/>
        <v>94</v>
      </c>
      <c r="O937" s="15">
        <f t="shared" si="51"/>
        <v>2.81</v>
      </c>
      <c r="P937" s="15">
        <f>IF(G937,INDEX(monster!$J$2:$J$606,MATCH(skill!C937,monster!$A$2:$A$606,0)),Q937)</f>
        <v>1.2</v>
      </c>
      <c r="Q937" s="70"/>
      <c r="R937" s="33">
        <v>120</v>
      </c>
    </row>
    <row r="938" spans="1:18" s="38" customFormat="1" x14ac:dyDescent="0.15">
      <c r="A938" s="32">
        <v>10982</v>
      </c>
      <c r="B938" s="32" t="s">
        <v>1580</v>
      </c>
      <c r="C938" s="31">
        <v>1529</v>
      </c>
      <c r="D938" s="32">
        <v>1</v>
      </c>
      <c r="E938" s="15">
        <f>INDEX(monster!$H$2:$H$617,MATCH(skill!C938,monster!$A$2:$A$617,0))</f>
        <v>81.180000000000007</v>
      </c>
      <c r="F938" s="15">
        <f>INDEX(monster!$I$2:$I$617,MATCH(C938,monster!$A$2:$A$617,0))</f>
        <v>2.44</v>
      </c>
      <c r="G938" s="15" t="b">
        <f t="shared" si="52"/>
        <v>1</v>
      </c>
      <c r="H938" s="31">
        <v>1</v>
      </c>
      <c r="I938" s="15">
        <f>IF(H938&gt;0,HLOOKUP(R938/100,数值规划表!$B$37:$AA$39,3),1)</f>
        <v>1.296</v>
      </c>
      <c r="J938" s="31" t="s">
        <v>1625</v>
      </c>
      <c r="K938" s="15">
        <f>INDEX(数值规划表!$B$15:$B$18,MATCH(J938,攻击范围,0))</f>
        <v>1</v>
      </c>
      <c r="L938" s="30">
        <v>1</v>
      </c>
      <c r="M938" s="41">
        <v>0</v>
      </c>
      <c r="N938" s="15">
        <f t="shared" si="50"/>
        <v>105</v>
      </c>
      <c r="O938" s="15">
        <f t="shared" si="51"/>
        <v>3.16</v>
      </c>
      <c r="P938" s="15">
        <f>IF(G938,INDEX(monster!$J$2:$J$606,MATCH(skill!C938,monster!$A$2:$A$606,0)),Q938)</f>
        <v>1.2</v>
      </c>
      <c r="Q938" s="70"/>
      <c r="R938" s="33">
        <v>120</v>
      </c>
    </row>
    <row r="939" spans="1:18" s="38" customFormat="1" x14ac:dyDescent="0.15">
      <c r="A939" s="32">
        <v>10983</v>
      </c>
      <c r="B939" s="32" t="s">
        <v>1238</v>
      </c>
      <c r="C939" s="31">
        <v>1530</v>
      </c>
      <c r="D939" s="32">
        <v>2</v>
      </c>
      <c r="E939" s="15">
        <f>INDEX(monster!$H$2:$H$617,MATCH(skill!C939,monster!$A$2:$A$617,0))</f>
        <v>90.92</v>
      </c>
      <c r="F939" s="15">
        <f>INDEX(monster!$I$2:$I$617,MATCH(C939,monster!$A$2:$A$617,0))</f>
        <v>2.73</v>
      </c>
      <c r="G939" s="15" t="b">
        <f t="shared" si="52"/>
        <v>1</v>
      </c>
      <c r="H939" s="31">
        <v>1</v>
      </c>
      <c r="I939" s="15">
        <f>IF(H939&gt;0,HLOOKUP(R939/100,数值规划表!$B$37:$AA$39,3),1)</f>
        <v>1.296</v>
      </c>
      <c r="J939" s="31" t="s">
        <v>1625</v>
      </c>
      <c r="K939" s="15">
        <f>INDEX(数值规划表!$B$15:$B$18,MATCH(J939,攻击范围,0))</f>
        <v>1</v>
      </c>
      <c r="L939" s="30">
        <v>1</v>
      </c>
      <c r="M939" s="41">
        <v>0</v>
      </c>
      <c r="N939" s="15">
        <f t="shared" si="50"/>
        <v>118</v>
      </c>
      <c r="O939" s="15">
        <f t="shared" si="51"/>
        <v>3.54</v>
      </c>
      <c r="P939" s="15">
        <f>IF(G939,INDEX(monster!$J$2:$J$606,MATCH(skill!C939,monster!$A$2:$A$606,0)),Q939)</f>
        <v>1.2</v>
      </c>
      <c r="Q939" s="70"/>
      <c r="R939" s="33">
        <v>120</v>
      </c>
    </row>
    <row r="940" spans="1:18" s="38" customFormat="1" x14ac:dyDescent="0.15">
      <c r="A940" s="32">
        <v>10984</v>
      </c>
      <c r="B940" s="32" t="s">
        <v>1239</v>
      </c>
      <c r="C940" s="31">
        <v>1531</v>
      </c>
      <c r="D940" s="32">
        <v>3</v>
      </c>
      <c r="E940" s="15">
        <f>INDEX(monster!$H$2:$H$617,MATCH(skill!C940,monster!$A$2:$A$617,0))</f>
        <v>101.83</v>
      </c>
      <c r="F940" s="15">
        <f>INDEX(monster!$I$2:$I$617,MATCH(C940,monster!$A$2:$A$617,0))</f>
        <v>3.05</v>
      </c>
      <c r="G940" s="15" t="b">
        <f t="shared" si="52"/>
        <v>1</v>
      </c>
      <c r="H940" s="31">
        <v>1</v>
      </c>
      <c r="I940" s="15">
        <f>IF(H940&gt;0,HLOOKUP(R940/100,数值规划表!$B$37:$AA$39,3),1)</f>
        <v>1.296</v>
      </c>
      <c r="J940" s="31" t="s">
        <v>1625</v>
      </c>
      <c r="K940" s="15">
        <f>INDEX(数值规划表!$B$15:$B$18,MATCH(J940,攻击范围,0))</f>
        <v>1</v>
      </c>
      <c r="L940" s="30">
        <v>1</v>
      </c>
      <c r="M940" s="41">
        <v>0</v>
      </c>
      <c r="N940" s="15">
        <f t="shared" si="50"/>
        <v>132</v>
      </c>
      <c r="O940" s="15">
        <f t="shared" si="51"/>
        <v>3.95</v>
      </c>
      <c r="P940" s="15">
        <f>IF(G940,INDEX(monster!$J$2:$J$606,MATCH(skill!C940,monster!$A$2:$A$606,0)),Q940)</f>
        <v>1.2</v>
      </c>
      <c r="Q940" s="70"/>
      <c r="R940" s="33">
        <v>120</v>
      </c>
    </row>
    <row r="941" spans="1:18" s="38" customFormat="1" x14ac:dyDescent="0.15">
      <c r="A941" s="32">
        <v>10985</v>
      </c>
      <c r="B941" s="32" t="s">
        <v>1240</v>
      </c>
      <c r="C941" s="31">
        <v>1532</v>
      </c>
      <c r="D941" s="32">
        <v>4</v>
      </c>
      <c r="E941" s="15">
        <f>INDEX(monster!$H$2:$H$617,MATCH(skill!C941,monster!$A$2:$A$617,0))</f>
        <v>114.05</v>
      </c>
      <c r="F941" s="15">
        <f>INDEX(monster!$I$2:$I$617,MATCH(C941,monster!$A$2:$A$617,0))</f>
        <v>3.42</v>
      </c>
      <c r="G941" s="15" t="b">
        <f t="shared" si="52"/>
        <v>1</v>
      </c>
      <c r="H941" s="31">
        <v>1</v>
      </c>
      <c r="I941" s="15">
        <f>IF(H941&gt;0,HLOOKUP(R941/100,数值规划表!$B$37:$AA$39,3),1)</f>
        <v>1.296</v>
      </c>
      <c r="J941" s="31" t="s">
        <v>1625</v>
      </c>
      <c r="K941" s="15">
        <f>INDEX(数值规划表!$B$15:$B$18,MATCH(J941,攻击范围,0))</f>
        <v>1</v>
      </c>
      <c r="L941" s="30">
        <v>1</v>
      </c>
      <c r="M941" s="41">
        <v>0</v>
      </c>
      <c r="N941" s="15">
        <f t="shared" si="50"/>
        <v>148</v>
      </c>
      <c r="O941" s="15">
        <f t="shared" si="51"/>
        <v>4.43</v>
      </c>
      <c r="P941" s="15">
        <f>IF(G941,INDEX(monster!$J$2:$J$606,MATCH(skill!C941,monster!$A$2:$A$606,0)),Q941)</f>
        <v>1.2</v>
      </c>
      <c r="Q941" s="70"/>
      <c r="R941" s="33">
        <v>120</v>
      </c>
    </row>
    <row r="942" spans="1:18" s="38" customFormat="1" x14ac:dyDescent="0.15">
      <c r="A942" s="32">
        <v>10986</v>
      </c>
      <c r="B942" s="32" t="s">
        <v>1241</v>
      </c>
      <c r="C942" s="31">
        <v>1533</v>
      </c>
      <c r="D942" s="32">
        <v>5</v>
      </c>
      <c r="E942" s="15">
        <f>INDEX(monster!$H$2:$H$617,MATCH(skill!C942,monster!$A$2:$A$617,0))</f>
        <v>127.73</v>
      </c>
      <c r="F942" s="15">
        <f>INDEX(monster!$I$2:$I$617,MATCH(C942,monster!$A$2:$A$617,0))</f>
        <v>3.83</v>
      </c>
      <c r="G942" s="15" t="b">
        <f t="shared" si="52"/>
        <v>1</v>
      </c>
      <c r="H942" s="31">
        <v>1</v>
      </c>
      <c r="I942" s="15">
        <f>IF(H942&gt;0,HLOOKUP(R942/100,数值规划表!$B$37:$AA$39,3),1)</f>
        <v>1.296</v>
      </c>
      <c r="J942" s="31" t="s">
        <v>1625</v>
      </c>
      <c r="K942" s="15">
        <f>INDEX(数值规划表!$B$15:$B$18,MATCH(J942,攻击范围,0))</f>
        <v>1</v>
      </c>
      <c r="L942" s="30">
        <v>1</v>
      </c>
      <c r="M942" s="41">
        <v>0</v>
      </c>
      <c r="N942" s="15">
        <f t="shared" si="50"/>
        <v>166</v>
      </c>
      <c r="O942" s="15">
        <f t="shared" si="51"/>
        <v>4.96</v>
      </c>
      <c r="P942" s="15">
        <f>IF(G942,INDEX(monster!$J$2:$J$606,MATCH(skill!C942,monster!$A$2:$A$606,0)),Q942)</f>
        <v>1.2</v>
      </c>
      <c r="Q942" s="70"/>
      <c r="R942" s="33">
        <v>120</v>
      </c>
    </row>
    <row r="943" spans="1:18" s="38" customFormat="1" x14ac:dyDescent="0.15">
      <c r="A943" s="32">
        <v>10987</v>
      </c>
      <c r="B943" s="32" t="s">
        <v>1242</v>
      </c>
      <c r="C943" s="31">
        <v>1534</v>
      </c>
      <c r="D943" s="32">
        <v>6</v>
      </c>
      <c r="E943" s="15">
        <f>INDEX(monster!$H$2:$H$617,MATCH(skill!C943,monster!$A$2:$A$617,0))</f>
        <v>143.06</v>
      </c>
      <c r="F943" s="15">
        <f>INDEX(monster!$I$2:$I$617,MATCH(C943,monster!$A$2:$A$617,0))</f>
        <v>4.29</v>
      </c>
      <c r="G943" s="15" t="b">
        <f t="shared" si="52"/>
        <v>1</v>
      </c>
      <c r="H943" s="31">
        <v>1</v>
      </c>
      <c r="I943" s="15">
        <f>IF(H943&gt;0,HLOOKUP(R943/100,数值规划表!$B$37:$AA$39,3),1)</f>
        <v>1.296</v>
      </c>
      <c r="J943" s="31" t="s">
        <v>1625</v>
      </c>
      <c r="K943" s="15">
        <f>INDEX(数值规划表!$B$15:$B$18,MATCH(J943,攻击范围,0))</f>
        <v>1</v>
      </c>
      <c r="L943" s="30">
        <v>1</v>
      </c>
      <c r="M943" s="41">
        <v>0</v>
      </c>
      <c r="N943" s="15">
        <f t="shared" si="50"/>
        <v>185</v>
      </c>
      <c r="O943" s="15">
        <f t="shared" si="51"/>
        <v>5.56</v>
      </c>
      <c r="P943" s="15">
        <f>IF(G943,INDEX(monster!$J$2:$J$606,MATCH(skill!C943,monster!$A$2:$A$606,0)),Q943)</f>
        <v>1.2</v>
      </c>
      <c r="Q943" s="70"/>
      <c r="R943" s="33">
        <v>120</v>
      </c>
    </row>
    <row r="944" spans="1:18" s="38" customFormat="1" x14ac:dyDescent="0.15">
      <c r="A944" s="32">
        <v>10988</v>
      </c>
      <c r="B944" s="32" t="s">
        <v>1243</v>
      </c>
      <c r="C944" s="31">
        <v>1535</v>
      </c>
      <c r="D944" s="32">
        <v>7</v>
      </c>
      <c r="E944" s="15">
        <f>INDEX(monster!$H$2:$H$617,MATCH(skill!C944,monster!$A$2:$A$617,0))</f>
        <v>160.22999999999999</v>
      </c>
      <c r="F944" s="15">
        <f>INDEX(monster!$I$2:$I$617,MATCH(C944,monster!$A$2:$A$617,0))</f>
        <v>4.8099999999999996</v>
      </c>
      <c r="G944" s="15" t="b">
        <f t="shared" si="52"/>
        <v>1</v>
      </c>
      <c r="H944" s="31">
        <v>1</v>
      </c>
      <c r="I944" s="15">
        <f>IF(H944&gt;0,HLOOKUP(R944/100,数值规划表!$B$37:$AA$39,3),1)</f>
        <v>1.296</v>
      </c>
      <c r="J944" s="31" t="s">
        <v>1625</v>
      </c>
      <c r="K944" s="15">
        <f>INDEX(数值规划表!$B$15:$B$18,MATCH(J944,攻击范围,0))</f>
        <v>1</v>
      </c>
      <c r="L944" s="30">
        <v>1</v>
      </c>
      <c r="M944" s="41">
        <v>0</v>
      </c>
      <c r="N944" s="15">
        <f t="shared" si="50"/>
        <v>208</v>
      </c>
      <c r="O944" s="15">
        <f t="shared" si="51"/>
        <v>6.23</v>
      </c>
      <c r="P944" s="15">
        <f>IF(G944,INDEX(monster!$J$2:$J$606,MATCH(skill!C944,monster!$A$2:$A$606,0)),Q944)</f>
        <v>1.2</v>
      </c>
      <c r="Q944" s="70"/>
      <c r="R944" s="33">
        <v>120</v>
      </c>
    </row>
    <row r="945" spans="1:18" s="38" customFormat="1" x14ac:dyDescent="0.15">
      <c r="A945" s="32">
        <v>10989</v>
      </c>
      <c r="B945" s="32" t="s">
        <v>1244</v>
      </c>
      <c r="C945" s="31">
        <v>1536</v>
      </c>
      <c r="D945" s="32">
        <v>8</v>
      </c>
      <c r="E945" s="15">
        <f>INDEX(monster!$H$2:$H$617,MATCH(skill!C945,monster!$A$2:$A$617,0))</f>
        <v>179.46</v>
      </c>
      <c r="F945" s="15">
        <f>INDEX(monster!$I$2:$I$617,MATCH(C945,monster!$A$2:$A$617,0))</f>
        <v>5.38</v>
      </c>
      <c r="G945" s="15" t="b">
        <f t="shared" si="52"/>
        <v>1</v>
      </c>
      <c r="H945" s="31">
        <v>1</v>
      </c>
      <c r="I945" s="15">
        <f>IF(H945&gt;0,HLOOKUP(R945/100,数值规划表!$B$37:$AA$39,3),1)</f>
        <v>1.296</v>
      </c>
      <c r="J945" s="31" t="s">
        <v>1625</v>
      </c>
      <c r="K945" s="15">
        <f>INDEX(数值规划表!$B$15:$B$18,MATCH(J945,攻击范围,0))</f>
        <v>1</v>
      </c>
      <c r="L945" s="30">
        <v>1</v>
      </c>
      <c r="M945" s="41">
        <v>0</v>
      </c>
      <c r="N945" s="15">
        <f t="shared" si="50"/>
        <v>233</v>
      </c>
      <c r="O945" s="15">
        <f t="shared" si="51"/>
        <v>6.97</v>
      </c>
      <c r="P945" s="15">
        <f>IF(G945,INDEX(monster!$J$2:$J$606,MATCH(skill!C945,monster!$A$2:$A$606,0)),Q945)</f>
        <v>1.2</v>
      </c>
      <c r="Q945" s="70"/>
      <c r="R945" s="33">
        <v>120</v>
      </c>
    </row>
    <row r="946" spans="1:18" s="38" customFormat="1" x14ac:dyDescent="0.15">
      <c r="A946" s="32">
        <v>10990</v>
      </c>
      <c r="B946" s="32" t="s">
        <v>1245</v>
      </c>
      <c r="C946" s="31">
        <v>1537</v>
      </c>
      <c r="D946" s="32">
        <v>9</v>
      </c>
      <c r="E946" s="15">
        <f>INDEX(monster!$H$2:$H$617,MATCH(skill!C946,monster!$A$2:$A$617,0))</f>
        <v>200.99</v>
      </c>
      <c r="F946" s="15">
        <f>INDEX(monster!$I$2:$I$617,MATCH(C946,monster!$A$2:$A$617,0))</f>
        <v>6.03</v>
      </c>
      <c r="G946" s="15" t="b">
        <f t="shared" si="52"/>
        <v>1</v>
      </c>
      <c r="H946" s="31">
        <v>1</v>
      </c>
      <c r="I946" s="15">
        <f>IF(H946&gt;0,HLOOKUP(R946/100,数值规划表!$B$37:$AA$39,3),1)</f>
        <v>1.296</v>
      </c>
      <c r="J946" s="31" t="s">
        <v>1625</v>
      </c>
      <c r="K946" s="15">
        <f>INDEX(数值规划表!$B$15:$B$18,MATCH(J946,攻击范围,0))</f>
        <v>1</v>
      </c>
      <c r="L946" s="30">
        <v>1</v>
      </c>
      <c r="M946" s="41">
        <v>0</v>
      </c>
      <c r="N946" s="15">
        <f t="shared" si="50"/>
        <v>260</v>
      </c>
      <c r="O946" s="15">
        <f t="shared" si="51"/>
        <v>7.81</v>
      </c>
      <c r="P946" s="15">
        <f>IF(G946,INDEX(monster!$J$2:$J$606,MATCH(skill!C946,monster!$A$2:$A$606,0)),Q946)</f>
        <v>1.2</v>
      </c>
      <c r="Q946" s="70"/>
      <c r="R946" s="33">
        <v>120</v>
      </c>
    </row>
    <row r="947" spans="1:18" s="38" customFormat="1" x14ac:dyDescent="0.15">
      <c r="A947" s="32">
        <v>10991</v>
      </c>
      <c r="B947" s="32" t="s">
        <v>1246</v>
      </c>
      <c r="C947" s="31">
        <v>1538</v>
      </c>
      <c r="D947" s="32">
        <v>10</v>
      </c>
      <c r="E947" s="15">
        <f>INDEX(monster!$H$2:$H$617,MATCH(skill!C947,monster!$A$2:$A$617,0))</f>
        <v>225.11</v>
      </c>
      <c r="F947" s="15">
        <f>INDEX(monster!$I$2:$I$617,MATCH(C947,monster!$A$2:$A$617,0))</f>
        <v>6.75</v>
      </c>
      <c r="G947" s="15" t="b">
        <f t="shared" si="52"/>
        <v>1</v>
      </c>
      <c r="H947" s="31">
        <v>1</v>
      </c>
      <c r="I947" s="15">
        <f>IF(H947&gt;0,HLOOKUP(R947/100,数值规划表!$B$37:$AA$39,3),1)</f>
        <v>1.296</v>
      </c>
      <c r="J947" s="31" t="s">
        <v>1625</v>
      </c>
      <c r="K947" s="15">
        <f>INDEX(数值规划表!$B$15:$B$18,MATCH(J947,攻击范围,0))</f>
        <v>1</v>
      </c>
      <c r="L947" s="30">
        <v>1</v>
      </c>
      <c r="M947" s="41">
        <v>0</v>
      </c>
      <c r="N947" s="15">
        <f t="shared" si="50"/>
        <v>292</v>
      </c>
      <c r="O947" s="15">
        <f t="shared" si="51"/>
        <v>8.75</v>
      </c>
      <c r="P947" s="15">
        <f>IF(G947,INDEX(monster!$J$2:$J$606,MATCH(skill!C947,monster!$A$2:$A$606,0)),Q947)</f>
        <v>1.2</v>
      </c>
      <c r="Q947" s="70"/>
      <c r="R947" s="33">
        <v>120</v>
      </c>
    </row>
    <row r="948" spans="1:18" s="38" customFormat="1" x14ac:dyDescent="0.15">
      <c r="A948" s="32">
        <v>10992</v>
      </c>
      <c r="B948" s="32" t="s">
        <v>1581</v>
      </c>
      <c r="C948" s="31">
        <v>1472</v>
      </c>
      <c r="D948" s="32">
        <v>0</v>
      </c>
      <c r="E948" s="15">
        <f>INDEX(monster!$H$2:$H$617,MATCH(skill!C948,monster!$A$2:$A$617,0))</f>
        <v>139.96</v>
      </c>
      <c r="F948" s="15">
        <f>INDEX(monster!$I$2:$I$617,MATCH(C948,monster!$A$2:$A$617,0))</f>
        <v>4.2</v>
      </c>
      <c r="G948" s="15" t="b">
        <f t="shared" si="52"/>
        <v>0</v>
      </c>
      <c r="H948" s="31">
        <v>0</v>
      </c>
      <c r="I948" s="15">
        <f>IF(H948&gt;0,HLOOKUP(R948/100,数值规划表!$B$37:$AA$39,3),1)</f>
        <v>1</v>
      </c>
      <c r="J948" s="31" t="s">
        <v>1672</v>
      </c>
      <c r="K948" s="15">
        <f>INDEX(数值规划表!$B$15:$B$18,MATCH(J948,攻击范围,0))</f>
        <v>0</v>
      </c>
      <c r="L948" s="30">
        <v>1</v>
      </c>
      <c r="M948" s="41">
        <v>0</v>
      </c>
      <c r="N948" s="15">
        <f t="shared" si="50"/>
        <v>0</v>
      </c>
      <c r="O948" s="15">
        <f t="shared" si="51"/>
        <v>0</v>
      </c>
      <c r="P948" s="15">
        <f>IF(G948,INDEX(monster!$J$2:$J$606,MATCH(skill!C948,monster!$A$2:$A$606,0)),Q948)</f>
        <v>0</v>
      </c>
      <c r="Q948" s="70"/>
      <c r="R948" s="33">
        <v>100</v>
      </c>
    </row>
    <row r="949" spans="1:18" s="38" customFormat="1" x14ac:dyDescent="0.15">
      <c r="A949" s="32">
        <v>10993</v>
      </c>
      <c r="B949" s="32" t="s">
        <v>1582</v>
      </c>
      <c r="C949" s="31">
        <v>1473</v>
      </c>
      <c r="D949" s="32">
        <v>1</v>
      </c>
      <c r="E949" s="15">
        <f>INDEX(monster!$H$2:$H$617,MATCH(skill!C949,monster!$A$2:$A$617,0))</f>
        <v>156.76</v>
      </c>
      <c r="F949" s="15">
        <f>INDEX(monster!$I$2:$I$617,MATCH(C949,monster!$A$2:$A$617,0))</f>
        <v>4.7</v>
      </c>
      <c r="G949" s="15" t="b">
        <f t="shared" si="52"/>
        <v>0</v>
      </c>
      <c r="H949" s="31">
        <v>0</v>
      </c>
      <c r="I949" s="15">
        <f>IF(H949&gt;0,HLOOKUP(R949/100,数值规划表!$B$37:$AA$39,3),1)</f>
        <v>1</v>
      </c>
      <c r="J949" s="31" t="s">
        <v>1672</v>
      </c>
      <c r="K949" s="15">
        <f>INDEX(数值规划表!$B$15:$B$18,MATCH(J949,攻击范围,0))</f>
        <v>0</v>
      </c>
      <c r="L949" s="30">
        <v>1</v>
      </c>
      <c r="M949" s="41">
        <v>0</v>
      </c>
      <c r="N949" s="15">
        <f t="shared" si="50"/>
        <v>0</v>
      </c>
      <c r="O949" s="15">
        <f t="shared" si="51"/>
        <v>0</v>
      </c>
      <c r="P949" s="15">
        <f>IF(G949,INDEX(monster!$J$2:$J$606,MATCH(skill!C949,monster!$A$2:$A$606,0)),Q949)</f>
        <v>0</v>
      </c>
      <c r="Q949" s="70"/>
      <c r="R949" s="33">
        <v>100</v>
      </c>
    </row>
    <row r="950" spans="1:18" s="38" customFormat="1" x14ac:dyDescent="0.15">
      <c r="A950" s="32">
        <v>10994</v>
      </c>
      <c r="B950" s="32" t="s">
        <v>1247</v>
      </c>
      <c r="C950" s="31">
        <v>1474</v>
      </c>
      <c r="D950" s="32">
        <v>2</v>
      </c>
      <c r="E950" s="15">
        <f>INDEX(monster!$H$2:$H$617,MATCH(skill!C950,monster!$A$2:$A$617,0))</f>
        <v>175.57</v>
      </c>
      <c r="F950" s="15">
        <f>INDEX(monster!$I$2:$I$617,MATCH(C950,monster!$A$2:$A$617,0))</f>
        <v>5.27</v>
      </c>
      <c r="G950" s="15" t="b">
        <f t="shared" si="52"/>
        <v>0</v>
      </c>
      <c r="H950" s="31">
        <v>0</v>
      </c>
      <c r="I950" s="15">
        <f>IF(H950&gt;0,HLOOKUP(R950/100,数值规划表!$B$37:$AA$39,3),1)</f>
        <v>1</v>
      </c>
      <c r="J950" s="31" t="s">
        <v>1672</v>
      </c>
      <c r="K950" s="15">
        <f>INDEX(数值规划表!$B$15:$B$18,MATCH(J950,攻击范围,0))</f>
        <v>0</v>
      </c>
      <c r="L950" s="30">
        <v>1</v>
      </c>
      <c r="M950" s="41">
        <v>0</v>
      </c>
      <c r="N950" s="15">
        <f t="shared" si="50"/>
        <v>0</v>
      </c>
      <c r="O950" s="15">
        <f t="shared" si="51"/>
        <v>0</v>
      </c>
      <c r="P950" s="15">
        <f>IF(G950,INDEX(monster!$J$2:$J$606,MATCH(skill!C950,monster!$A$2:$A$606,0)),Q950)</f>
        <v>0</v>
      </c>
      <c r="Q950" s="70"/>
      <c r="R950" s="33">
        <v>100</v>
      </c>
    </row>
    <row r="951" spans="1:18" s="38" customFormat="1" x14ac:dyDescent="0.15">
      <c r="A951" s="32">
        <v>10995</v>
      </c>
      <c r="B951" s="32" t="s">
        <v>1248</v>
      </c>
      <c r="C951" s="31">
        <v>1475</v>
      </c>
      <c r="D951" s="32">
        <v>3</v>
      </c>
      <c r="E951" s="15">
        <f>INDEX(monster!$H$2:$H$617,MATCH(skill!C951,monster!$A$2:$A$617,0))</f>
        <v>196.63</v>
      </c>
      <c r="F951" s="15">
        <f>INDEX(monster!$I$2:$I$617,MATCH(C951,monster!$A$2:$A$617,0))</f>
        <v>5.9</v>
      </c>
      <c r="G951" s="15" t="b">
        <f t="shared" si="52"/>
        <v>0</v>
      </c>
      <c r="H951" s="31">
        <v>0</v>
      </c>
      <c r="I951" s="15">
        <f>IF(H951&gt;0,HLOOKUP(R951/100,数值规划表!$B$37:$AA$39,3),1)</f>
        <v>1</v>
      </c>
      <c r="J951" s="31" t="s">
        <v>1672</v>
      </c>
      <c r="K951" s="15">
        <f>INDEX(数值规划表!$B$15:$B$18,MATCH(J951,攻击范围,0))</f>
        <v>0</v>
      </c>
      <c r="L951" s="30">
        <v>1</v>
      </c>
      <c r="M951" s="41">
        <v>0</v>
      </c>
      <c r="N951" s="15">
        <f t="shared" ref="N951:N1014" si="53">ROUND(E951*I951*K951*L951,0)</f>
        <v>0</v>
      </c>
      <c r="O951" s="15">
        <f t="shared" ref="O951:O1014" si="54">ROUND(F951*I951*K951*L951,2)</f>
        <v>0</v>
      </c>
      <c r="P951" s="15">
        <f>IF(G951,INDEX(monster!$J$2:$J$606,MATCH(skill!C951,monster!$A$2:$A$606,0)),Q951)</f>
        <v>0</v>
      </c>
      <c r="Q951" s="70"/>
      <c r="R951" s="33">
        <v>100</v>
      </c>
    </row>
    <row r="952" spans="1:18" s="38" customFormat="1" x14ac:dyDescent="0.15">
      <c r="A952" s="32">
        <v>10996</v>
      </c>
      <c r="B952" s="32" t="s">
        <v>1249</v>
      </c>
      <c r="C952" s="31">
        <v>1476</v>
      </c>
      <c r="D952" s="32">
        <v>4</v>
      </c>
      <c r="E952" s="15">
        <f>INDEX(monster!$H$2:$H$617,MATCH(skill!C952,monster!$A$2:$A$617,0))</f>
        <v>220.23</v>
      </c>
      <c r="F952" s="15">
        <f>INDEX(monster!$I$2:$I$617,MATCH(C952,monster!$A$2:$A$617,0))</f>
        <v>6.61</v>
      </c>
      <c r="G952" s="15" t="b">
        <f t="shared" si="52"/>
        <v>0</v>
      </c>
      <c r="H952" s="31">
        <v>0</v>
      </c>
      <c r="I952" s="15">
        <f>IF(H952&gt;0,HLOOKUP(R952/100,数值规划表!$B$37:$AA$39,3),1)</f>
        <v>1</v>
      </c>
      <c r="J952" s="31" t="s">
        <v>1672</v>
      </c>
      <c r="K952" s="15">
        <f>INDEX(数值规划表!$B$15:$B$18,MATCH(J952,攻击范围,0))</f>
        <v>0</v>
      </c>
      <c r="L952" s="30">
        <v>1</v>
      </c>
      <c r="M952" s="41">
        <v>0</v>
      </c>
      <c r="N952" s="15">
        <f t="shared" si="53"/>
        <v>0</v>
      </c>
      <c r="O952" s="15">
        <f t="shared" si="54"/>
        <v>0</v>
      </c>
      <c r="P952" s="15">
        <f>IF(G952,INDEX(monster!$J$2:$J$606,MATCH(skill!C952,monster!$A$2:$A$606,0)),Q952)</f>
        <v>0</v>
      </c>
      <c r="Q952" s="70"/>
      <c r="R952" s="33">
        <v>100</v>
      </c>
    </row>
    <row r="953" spans="1:18" s="38" customFormat="1" x14ac:dyDescent="0.15">
      <c r="A953" s="32">
        <v>10997</v>
      </c>
      <c r="B953" s="32" t="s">
        <v>1250</v>
      </c>
      <c r="C953" s="31">
        <v>1477</v>
      </c>
      <c r="D953" s="32">
        <v>5</v>
      </c>
      <c r="E953" s="15">
        <f>INDEX(monster!$H$2:$H$617,MATCH(skill!C953,monster!$A$2:$A$617,0))</f>
        <v>246.66</v>
      </c>
      <c r="F953" s="15">
        <f>INDEX(monster!$I$2:$I$617,MATCH(C953,monster!$A$2:$A$617,0))</f>
        <v>7.4</v>
      </c>
      <c r="G953" s="15" t="b">
        <f t="shared" si="52"/>
        <v>0</v>
      </c>
      <c r="H953" s="31">
        <v>0</v>
      </c>
      <c r="I953" s="15">
        <f>IF(H953&gt;0,HLOOKUP(R953/100,数值规划表!$B$37:$AA$39,3),1)</f>
        <v>1</v>
      </c>
      <c r="J953" s="31" t="s">
        <v>1672</v>
      </c>
      <c r="K953" s="15">
        <f>INDEX(数值规划表!$B$15:$B$18,MATCH(J953,攻击范围,0))</f>
        <v>0</v>
      </c>
      <c r="L953" s="30">
        <v>1</v>
      </c>
      <c r="M953" s="41">
        <v>0</v>
      </c>
      <c r="N953" s="15">
        <f t="shared" si="53"/>
        <v>0</v>
      </c>
      <c r="O953" s="15">
        <f t="shared" si="54"/>
        <v>0</v>
      </c>
      <c r="P953" s="15">
        <f>IF(G953,INDEX(monster!$J$2:$J$606,MATCH(skill!C953,monster!$A$2:$A$606,0)),Q953)</f>
        <v>0</v>
      </c>
      <c r="Q953" s="70"/>
      <c r="R953" s="33">
        <v>100</v>
      </c>
    </row>
    <row r="954" spans="1:18" s="38" customFormat="1" x14ac:dyDescent="0.15">
      <c r="A954" s="32">
        <v>10998</v>
      </c>
      <c r="B954" s="32" t="s">
        <v>1251</v>
      </c>
      <c r="C954" s="31">
        <v>1478</v>
      </c>
      <c r="D954" s="32">
        <v>6</v>
      </c>
      <c r="E954" s="15">
        <f>INDEX(monster!$H$2:$H$617,MATCH(skill!C954,monster!$A$2:$A$617,0))</f>
        <v>276.26</v>
      </c>
      <c r="F954" s="15">
        <f>INDEX(monster!$I$2:$I$617,MATCH(C954,monster!$A$2:$A$617,0))</f>
        <v>8.2899999999999991</v>
      </c>
      <c r="G954" s="15" t="b">
        <f t="shared" si="52"/>
        <v>0</v>
      </c>
      <c r="H954" s="31">
        <v>0</v>
      </c>
      <c r="I954" s="15">
        <f>IF(H954&gt;0,HLOOKUP(R954/100,数值规划表!$B$37:$AA$39,3),1)</f>
        <v>1</v>
      </c>
      <c r="J954" s="31" t="s">
        <v>1672</v>
      </c>
      <c r="K954" s="15">
        <f>INDEX(数值规划表!$B$15:$B$18,MATCH(J954,攻击范围,0))</f>
        <v>0</v>
      </c>
      <c r="L954" s="30">
        <v>1</v>
      </c>
      <c r="M954" s="41">
        <v>0</v>
      </c>
      <c r="N954" s="15">
        <f t="shared" si="53"/>
        <v>0</v>
      </c>
      <c r="O954" s="15">
        <f t="shared" si="54"/>
        <v>0</v>
      </c>
      <c r="P954" s="15">
        <f>IF(G954,INDEX(monster!$J$2:$J$606,MATCH(skill!C954,monster!$A$2:$A$606,0)),Q954)</f>
        <v>0</v>
      </c>
      <c r="Q954" s="70"/>
      <c r="R954" s="33">
        <v>100</v>
      </c>
    </row>
    <row r="955" spans="1:18" s="38" customFormat="1" x14ac:dyDescent="0.15">
      <c r="A955" s="32">
        <v>10999</v>
      </c>
      <c r="B955" s="32" t="s">
        <v>1252</v>
      </c>
      <c r="C955" s="31">
        <v>1479</v>
      </c>
      <c r="D955" s="32">
        <v>7</v>
      </c>
      <c r="E955" s="15">
        <f>INDEX(monster!$H$2:$H$617,MATCH(skill!C955,monster!$A$2:$A$617,0))</f>
        <v>309.41000000000003</v>
      </c>
      <c r="F955" s="15">
        <f>INDEX(monster!$I$2:$I$617,MATCH(C955,monster!$A$2:$A$617,0))</f>
        <v>9.2799999999999994</v>
      </c>
      <c r="G955" s="15" t="b">
        <f t="shared" si="52"/>
        <v>0</v>
      </c>
      <c r="H955" s="31">
        <v>0</v>
      </c>
      <c r="I955" s="15">
        <f>IF(H955&gt;0,HLOOKUP(R955/100,数值规划表!$B$37:$AA$39,3),1)</f>
        <v>1</v>
      </c>
      <c r="J955" s="31" t="s">
        <v>1672</v>
      </c>
      <c r="K955" s="15">
        <f>INDEX(数值规划表!$B$15:$B$18,MATCH(J955,攻击范围,0))</f>
        <v>0</v>
      </c>
      <c r="L955" s="30">
        <v>1</v>
      </c>
      <c r="M955" s="41">
        <v>0</v>
      </c>
      <c r="N955" s="15">
        <f t="shared" si="53"/>
        <v>0</v>
      </c>
      <c r="O955" s="15">
        <f t="shared" si="54"/>
        <v>0</v>
      </c>
      <c r="P955" s="15">
        <f>IF(G955,INDEX(monster!$J$2:$J$606,MATCH(skill!C955,monster!$A$2:$A$606,0)),Q955)</f>
        <v>0</v>
      </c>
      <c r="Q955" s="70"/>
      <c r="R955" s="33">
        <v>100</v>
      </c>
    </row>
    <row r="956" spans="1:18" s="38" customFormat="1" x14ac:dyDescent="0.15">
      <c r="A956" s="32">
        <v>11000</v>
      </c>
      <c r="B956" s="32" t="s">
        <v>1253</v>
      </c>
      <c r="C956" s="31">
        <v>1480</v>
      </c>
      <c r="D956" s="32">
        <v>8</v>
      </c>
      <c r="E956" s="15">
        <f>INDEX(monster!$H$2:$H$617,MATCH(skill!C956,monster!$A$2:$A$617,0))</f>
        <v>346.54</v>
      </c>
      <c r="F956" s="15">
        <f>INDEX(monster!$I$2:$I$617,MATCH(C956,monster!$A$2:$A$617,0))</f>
        <v>10.4</v>
      </c>
      <c r="G956" s="15" t="b">
        <f t="shared" si="52"/>
        <v>0</v>
      </c>
      <c r="H956" s="31">
        <v>0</v>
      </c>
      <c r="I956" s="15">
        <f>IF(H956&gt;0,HLOOKUP(R956/100,数值规划表!$B$37:$AA$39,3),1)</f>
        <v>1</v>
      </c>
      <c r="J956" s="31" t="s">
        <v>1672</v>
      </c>
      <c r="K956" s="15">
        <f>INDEX(数值规划表!$B$15:$B$18,MATCH(J956,攻击范围,0))</f>
        <v>0</v>
      </c>
      <c r="L956" s="30">
        <v>1</v>
      </c>
      <c r="M956" s="41">
        <v>0</v>
      </c>
      <c r="N956" s="15">
        <f t="shared" si="53"/>
        <v>0</v>
      </c>
      <c r="O956" s="15">
        <f t="shared" si="54"/>
        <v>0</v>
      </c>
      <c r="P956" s="15">
        <f>IF(G956,INDEX(monster!$J$2:$J$606,MATCH(skill!C956,monster!$A$2:$A$606,0)),Q956)</f>
        <v>0</v>
      </c>
      <c r="Q956" s="70"/>
      <c r="R956" s="33">
        <v>100</v>
      </c>
    </row>
    <row r="957" spans="1:18" s="38" customFormat="1" x14ac:dyDescent="0.15">
      <c r="A957" s="32">
        <v>11001</v>
      </c>
      <c r="B957" s="32" t="s">
        <v>1254</v>
      </c>
      <c r="C957" s="31">
        <v>1481</v>
      </c>
      <c r="D957" s="32">
        <v>9</v>
      </c>
      <c r="E957" s="15">
        <f>INDEX(monster!$H$2:$H$617,MATCH(skill!C957,monster!$A$2:$A$617,0))</f>
        <v>388.12</v>
      </c>
      <c r="F957" s="15">
        <f>INDEX(monster!$I$2:$I$617,MATCH(C957,monster!$A$2:$A$617,0))</f>
        <v>11.64</v>
      </c>
      <c r="G957" s="15" t="b">
        <f t="shared" si="52"/>
        <v>0</v>
      </c>
      <c r="H957" s="31">
        <v>0</v>
      </c>
      <c r="I957" s="15">
        <f>IF(H957&gt;0,HLOOKUP(R957/100,数值规划表!$B$37:$AA$39,3),1)</f>
        <v>1</v>
      </c>
      <c r="J957" s="31" t="s">
        <v>1672</v>
      </c>
      <c r="K957" s="15">
        <f>INDEX(数值规划表!$B$15:$B$18,MATCH(J957,攻击范围,0))</f>
        <v>0</v>
      </c>
      <c r="L957" s="30">
        <v>1</v>
      </c>
      <c r="M957" s="41">
        <v>0</v>
      </c>
      <c r="N957" s="15">
        <f t="shared" si="53"/>
        <v>0</v>
      </c>
      <c r="O957" s="15">
        <f t="shared" si="54"/>
        <v>0</v>
      </c>
      <c r="P957" s="15">
        <f>IF(G957,INDEX(monster!$J$2:$J$606,MATCH(skill!C957,monster!$A$2:$A$606,0)),Q957)</f>
        <v>0</v>
      </c>
      <c r="Q957" s="70"/>
      <c r="R957" s="33">
        <v>100</v>
      </c>
    </row>
    <row r="958" spans="1:18" s="38" customFormat="1" x14ac:dyDescent="0.15">
      <c r="A958" s="32">
        <v>11002</v>
      </c>
      <c r="B958" s="32" t="s">
        <v>1255</v>
      </c>
      <c r="C958" s="31">
        <v>1482</v>
      </c>
      <c r="D958" s="32">
        <v>10</v>
      </c>
      <c r="E958" s="15">
        <f>INDEX(monster!$H$2:$H$617,MATCH(skill!C958,monster!$A$2:$A$617,0))</f>
        <v>434.69</v>
      </c>
      <c r="F958" s="15">
        <f>INDEX(monster!$I$2:$I$617,MATCH(C958,monster!$A$2:$A$617,0))</f>
        <v>13.04</v>
      </c>
      <c r="G958" s="15" t="b">
        <f t="shared" si="52"/>
        <v>0</v>
      </c>
      <c r="H958" s="31">
        <v>0</v>
      </c>
      <c r="I958" s="15">
        <f>IF(H958&gt;0,HLOOKUP(R958/100,数值规划表!$B$37:$AA$39,3),1)</f>
        <v>1</v>
      </c>
      <c r="J958" s="31" t="s">
        <v>1672</v>
      </c>
      <c r="K958" s="15">
        <f>INDEX(数值规划表!$B$15:$B$18,MATCH(J958,攻击范围,0))</f>
        <v>0</v>
      </c>
      <c r="L958" s="30">
        <v>1</v>
      </c>
      <c r="M958" s="41">
        <v>0</v>
      </c>
      <c r="N958" s="15">
        <f t="shared" si="53"/>
        <v>0</v>
      </c>
      <c r="O958" s="15">
        <f t="shared" si="54"/>
        <v>0</v>
      </c>
      <c r="P958" s="15">
        <f>IF(G958,INDEX(monster!$J$2:$J$606,MATCH(skill!C958,monster!$A$2:$A$606,0)),Q958)</f>
        <v>0</v>
      </c>
      <c r="Q958" s="70"/>
      <c r="R958" s="33">
        <v>100</v>
      </c>
    </row>
    <row r="959" spans="1:18" s="38" customFormat="1" x14ac:dyDescent="0.15">
      <c r="A959" s="32">
        <v>11003</v>
      </c>
      <c r="B959" s="32" t="s">
        <v>1583</v>
      </c>
      <c r="C959" s="31">
        <v>1517</v>
      </c>
      <c r="D959" s="32">
        <v>0</v>
      </c>
      <c r="E959" s="15">
        <f>INDEX(monster!$H$2:$H$617,MATCH(skill!C959,monster!$A$2:$A$617,0))</f>
        <v>106.58</v>
      </c>
      <c r="F959" s="15">
        <f>INDEX(monster!$I$2:$I$617,MATCH(C959,monster!$A$2:$A$617,0))</f>
        <v>3.2</v>
      </c>
      <c r="G959" s="15" t="b">
        <f t="shared" si="52"/>
        <v>0</v>
      </c>
      <c r="H959" s="31">
        <v>0</v>
      </c>
      <c r="I959" s="15">
        <f>IF(H959&gt;0,HLOOKUP(R959/100,数值规划表!$B$37:$AA$39,3),1)</f>
        <v>1</v>
      </c>
      <c r="J959" s="31" t="s">
        <v>1672</v>
      </c>
      <c r="K959" s="15">
        <f>INDEX(数值规划表!$B$15:$B$18,MATCH(J959,攻击范围,0))</f>
        <v>0</v>
      </c>
      <c r="L959" s="30">
        <v>1</v>
      </c>
      <c r="M959" s="41">
        <v>0</v>
      </c>
      <c r="N959" s="15">
        <f t="shared" si="53"/>
        <v>0</v>
      </c>
      <c r="O959" s="15">
        <f t="shared" si="54"/>
        <v>0</v>
      </c>
      <c r="P959" s="15">
        <f>IF(G959,INDEX(monster!$J$2:$J$606,MATCH(skill!C959,monster!$A$2:$A$606,0)),Q959)</f>
        <v>0</v>
      </c>
      <c r="Q959" s="70"/>
      <c r="R959" s="33">
        <v>100</v>
      </c>
    </row>
    <row r="960" spans="1:18" s="38" customFormat="1" x14ac:dyDescent="0.15">
      <c r="A960" s="32">
        <v>11004</v>
      </c>
      <c r="B960" s="32" t="s">
        <v>1584</v>
      </c>
      <c r="C960" s="31">
        <v>1518</v>
      </c>
      <c r="D960" s="32">
        <v>1</v>
      </c>
      <c r="E960" s="15">
        <f>INDEX(monster!$H$2:$H$617,MATCH(skill!C960,monster!$A$2:$A$617,0))</f>
        <v>119.37</v>
      </c>
      <c r="F960" s="15">
        <f>INDEX(monster!$I$2:$I$617,MATCH(C960,monster!$A$2:$A$617,0))</f>
        <v>3.58</v>
      </c>
      <c r="G960" s="15" t="b">
        <f t="shared" si="52"/>
        <v>0</v>
      </c>
      <c r="H960" s="31">
        <v>0</v>
      </c>
      <c r="I960" s="15">
        <f>IF(H960&gt;0,HLOOKUP(R960/100,数值规划表!$B$37:$AA$39,3),1)</f>
        <v>1</v>
      </c>
      <c r="J960" s="31" t="s">
        <v>1672</v>
      </c>
      <c r="K960" s="15">
        <f>INDEX(数值规划表!$B$15:$B$18,MATCH(J960,攻击范围,0))</f>
        <v>0</v>
      </c>
      <c r="L960" s="30">
        <v>1</v>
      </c>
      <c r="M960" s="41">
        <v>0</v>
      </c>
      <c r="N960" s="15">
        <f t="shared" si="53"/>
        <v>0</v>
      </c>
      <c r="O960" s="15">
        <f t="shared" si="54"/>
        <v>0</v>
      </c>
      <c r="P960" s="15">
        <f>IF(G960,INDEX(monster!$J$2:$J$606,MATCH(skill!C960,monster!$A$2:$A$606,0)),Q960)</f>
        <v>0</v>
      </c>
      <c r="Q960" s="70"/>
      <c r="R960" s="33">
        <v>100</v>
      </c>
    </row>
    <row r="961" spans="1:18" s="38" customFormat="1" x14ac:dyDescent="0.15">
      <c r="A961" s="32">
        <v>11005</v>
      </c>
      <c r="B961" s="32" t="s">
        <v>1256</v>
      </c>
      <c r="C961" s="31">
        <v>1519</v>
      </c>
      <c r="D961" s="32">
        <v>2</v>
      </c>
      <c r="E961" s="15">
        <f>INDEX(monster!$H$2:$H$617,MATCH(skill!C961,monster!$A$2:$A$617,0))</f>
        <v>133.69</v>
      </c>
      <c r="F961" s="15">
        <f>INDEX(monster!$I$2:$I$617,MATCH(C961,monster!$A$2:$A$617,0))</f>
        <v>4.01</v>
      </c>
      <c r="G961" s="15" t="b">
        <f t="shared" si="52"/>
        <v>0</v>
      </c>
      <c r="H961" s="31">
        <v>0</v>
      </c>
      <c r="I961" s="15">
        <f>IF(H961&gt;0,HLOOKUP(R961/100,数值规划表!$B$37:$AA$39,3),1)</f>
        <v>1</v>
      </c>
      <c r="J961" s="31" t="s">
        <v>1672</v>
      </c>
      <c r="K961" s="15">
        <f>INDEX(数值规划表!$B$15:$B$18,MATCH(J961,攻击范围,0))</f>
        <v>0</v>
      </c>
      <c r="L961" s="30">
        <v>1</v>
      </c>
      <c r="M961" s="41">
        <v>0</v>
      </c>
      <c r="N961" s="15">
        <f t="shared" si="53"/>
        <v>0</v>
      </c>
      <c r="O961" s="15">
        <f t="shared" si="54"/>
        <v>0</v>
      </c>
      <c r="P961" s="15">
        <f>IF(G961,INDEX(monster!$J$2:$J$606,MATCH(skill!C961,monster!$A$2:$A$606,0)),Q961)</f>
        <v>0</v>
      </c>
      <c r="Q961" s="70"/>
      <c r="R961" s="33">
        <v>100</v>
      </c>
    </row>
    <row r="962" spans="1:18" s="38" customFormat="1" x14ac:dyDescent="0.15">
      <c r="A962" s="32">
        <v>11006</v>
      </c>
      <c r="B962" s="32" t="s">
        <v>1257</v>
      </c>
      <c r="C962" s="31">
        <v>1520</v>
      </c>
      <c r="D962" s="32">
        <v>3</v>
      </c>
      <c r="E962" s="15">
        <f>INDEX(monster!$H$2:$H$617,MATCH(skill!C962,monster!$A$2:$A$617,0))</f>
        <v>149.74</v>
      </c>
      <c r="F962" s="15">
        <f>INDEX(monster!$I$2:$I$617,MATCH(C962,monster!$A$2:$A$617,0))</f>
        <v>4.49</v>
      </c>
      <c r="G962" s="15" t="b">
        <f t="shared" si="52"/>
        <v>0</v>
      </c>
      <c r="H962" s="31">
        <v>0</v>
      </c>
      <c r="I962" s="15">
        <f>IF(H962&gt;0,HLOOKUP(R962/100,数值规划表!$B$37:$AA$39,3),1)</f>
        <v>1</v>
      </c>
      <c r="J962" s="31" t="s">
        <v>1672</v>
      </c>
      <c r="K962" s="15">
        <f>INDEX(数值规划表!$B$15:$B$18,MATCH(J962,攻击范围,0))</f>
        <v>0</v>
      </c>
      <c r="L962" s="30">
        <v>1</v>
      </c>
      <c r="M962" s="41">
        <v>0</v>
      </c>
      <c r="N962" s="15">
        <f t="shared" si="53"/>
        <v>0</v>
      </c>
      <c r="O962" s="15">
        <f t="shared" si="54"/>
        <v>0</v>
      </c>
      <c r="P962" s="15">
        <f>IF(G962,INDEX(monster!$J$2:$J$606,MATCH(skill!C962,monster!$A$2:$A$606,0)),Q962)</f>
        <v>0</v>
      </c>
      <c r="Q962" s="70"/>
      <c r="R962" s="33">
        <v>100</v>
      </c>
    </row>
    <row r="963" spans="1:18" s="38" customFormat="1" x14ac:dyDescent="0.15">
      <c r="A963" s="32">
        <v>11007</v>
      </c>
      <c r="B963" s="32" t="s">
        <v>1258</v>
      </c>
      <c r="C963" s="31">
        <v>1521</v>
      </c>
      <c r="D963" s="32">
        <v>4</v>
      </c>
      <c r="E963" s="15">
        <f>INDEX(monster!$H$2:$H$617,MATCH(skill!C963,monster!$A$2:$A$617,0))</f>
        <v>167.71</v>
      </c>
      <c r="F963" s="15">
        <f>INDEX(monster!$I$2:$I$617,MATCH(C963,monster!$A$2:$A$617,0))</f>
        <v>5.03</v>
      </c>
      <c r="G963" s="15" t="b">
        <f t="shared" si="52"/>
        <v>0</v>
      </c>
      <c r="H963" s="31">
        <v>0</v>
      </c>
      <c r="I963" s="15">
        <f>IF(H963&gt;0,HLOOKUP(R963/100,数值规划表!$B$37:$AA$39,3),1)</f>
        <v>1</v>
      </c>
      <c r="J963" s="31" t="s">
        <v>1672</v>
      </c>
      <c r="K963" s="15">
        <f>INDEX(数值规划表!$B$15:$B$18,MATCH(J963,攻击范围,0))</f>
        <v>0</v>
      </c>
      <c r="L963" s="30">
        <v>1</v>
      </c>
      <c r="M963" s="41">
        <v>0</v>
      </c>
      <c r="N963" s="15">
        <f t="shared" si="53"/>
        <v>0</v>
      </c>
      <c r="O963" s="15">
        <f t="shared" si="54"/>
        <v>0</v>
      </c>
      <c r="P963" s="15">
        <f>IF(G963,INDEX(monster!$J$2:$J$606,MATCH(skill!C963,monster!$A$2:$A$606,0)),Q963)</f>
        <v>0</v>
      </c>
      <c r="Q963" s="70"/>
      <c r="R963" s="33">
        <v>100</v>
      </c>
    </row>
    <row r="964" spans="1:18" s="38" customFormat="1" x14ac:dyDescent="0.15">
      <c r="A964" s="32">
        <v>11008</v>
      </c>
      <c r="B964" s="32" t="s">
        <v>1259</v>
      </c>
      <c r="C964" s="31">
        <v>1522</v>
      </c>
      <c r="D964" s="32">
        <v>5</v>
      </c>
      <c r="E964" s="15">
        <f>INDEX(monster!$H$2:$H$617,MATCH(skill!C964,monster!$A$2:$A$617,0))</f>
        <v>187.83</v>
      </c>
      <c r="F964" s="15">
        <f>INDEX(monster!$I$2:$I$617,MATCH(C964,monster!$A$2:$A$617,0))</f>
        <v>5.63</v>
      </c>
      <c r="G964" s="15" t="b">
        <f t="shared" si="52"/>
        <v>0</v>
      </c>
      <c r="H964" s="31">
        <v>0</v>
      </c>
      <c r="I964" s="15">
        <f>IF(H964&gt;0,HLOOKUP(R964/100,数值规划表!$B$37:$AA$39,3),1)</f>
        <v>1</v>
      </c>
      <c r="J964" s="31" t="s">
        <v>1672</v>
      </c>
      <c r="K964" s="15">
        <f>INDEX(数值规划表!$B$15:$B$18,MATCH(J964,攻击范围,0))</f>
        <v>0</v>
      </c>
      <c r="L964" s="30">
        <v>1</v>
      </c>
      <c r="M964" s="41">
        <v>0</v>
      </c>
      <c r="N964" s="15">
        <f t="shared" si="53"/>
        <v>0</v>
      </c>
      <c r="O964" s="15">
        <f t="shared" si="54"/>
        <v>0</v>
      </c>
      <c r="P964" s="15">
        <f>IF(G964,INDEX(monster!$J$2:$J$606,MATCH(skill!C964,monster!$A$2:$A$606,0)),Q964)</f>
        <v>0</v>
      </c>
      <c r="Q964" s="70"/>
      <c r="R964" s="33">
        <v>100</v>
      </c>
    </row>
    <row r="965" spans="1:18" s="38" customFormat="1" x14ac:dyDescent="0.15">
      <c r="A965" s="32">
        <v>11009</v>
      </c>
      <c r="B965" s="32" t="s">
        <v>1260</v>
      </c>
      <c r="C965" s="31">
        <v>1523</v>
      </c>
      <c r="D965" s="32">
        <v>6</v>
      </c>
      <c r="E965" s="15">
        <f>INDEX(monster!$H$2:$H$617,MATCH(skill!C965,monster!$A$2:$A$617,0))</f>
        <v>210.37</v>
      </c>
      <c r="F965" s="15">
        <f>INDEX(monster!$I$2:$I$617,MATCH(C965,monster!$A$2:$A$617,0))</f>
        <v>6.31</v>
      </c>
      <c r="G965" s="15" t="b">
        <f t="shared" si="52"/>
        <v>0</v>
      </c>
      <c r="H965" s="31">
        <v>0</v>
      </c>
      <c r="I965" s="15">
        <f>IF(H965&gt;0,HLOOKUP(R965/100,数值规划表!$B$37:$AA$39,3),1)</f>
        <v>1</v>
      </c>
      <c r="J965" s="31" t="s">
        <v>1672</v>
      </c>
      <c r="K965" s="15">
        <f>INDEX(数值规划表!$B$15:$B$18,MATCH(J965,攻击范围,0))</f>
        <v>0</v>
      </c>
      <c r="L965" s="30">
        <v>1</v>
      </c>
      <c r="M965" s="41">
        <v>0</v>
      </c>
      <c r="N965" s="15">
        <f t="shared" si="53"/>
        <v>0</v>
      </c>
      <c r="O965" s="15">
        <f t="shared" si="54"/>
        <v>0</v>
      </c>
      <c r="P965" s="15">
        <f>IF(G965,INDEX(monster!$J$2:$J$606,MATCH(skill!C965,monster!$A$2:$A$606,0)),Q965)</f>
        <v>0</v>
      </c>
      <c r="Q965" s="70"/>
      <c r="R965" s="33">
        <v>100</v>
      </c>
    </row>
    <row r="966" spans="1:18" s="38" customFormat="1" x14ac:dyDescent="0.15">
      <c r="A966" s="32">
        <v>11010</v>
      </c>
      <c r="B966" s="32" t="s">
        <v>1261</v>
      </c>
      <c r="C966" s="31">
        <v>1524</v>
      </c>
      <c r="D966" s="32">
        <v>7</v>
      </c>
      <c r="E966" s="15">
        <f>INDEX(monster!$H$2:$H$617,MATCH(skill!C966,monster!$A$2:$A$617,0))</f>
        <v>235.61</v>
      </c>
      <c r="F966" s="15">
        <f>INDEX(monster!$I$2:$I$617,MATCH(C966,monster!$A$2:$A$617,0))</f>
        <v>7.07</v>
      </c>
      <c r="G966" s="15" t="b">
        <f t="shared" si="52"/>
        <v>0</v>
      </c>
      <c r="H966" s="31">
        <v>0</v>
      </c>
      <c r="I966" s="15">
        <f>IF(H966&gt;0,HLOOKUP(R966/100,数值规划表!$B$37:$AA$39,3),1)</f>
        <v>1</v>
      </c>
      <c r="J966" s="31" t="s">
        <v>1672</v>
      </c>
      <c r="K966" s="15">
        <f>INDEX(数值规划表!$B$15:$B$18,MATCH(J966,攻击范围,0))</f>
        <v>0</v>
      </c>
      <c r="L966" s="30">
        <v>1</v>
      </c>
      <c r="M966" s="41">
        <v>0</v>
      </c>
      <c r="N966" s="15">
        <f t="shared" si="53"/>
        <v>0</v>
      </c>
      <c r="O966" s="15">
        <f t="shared" si="54"/>
        <v>0</v>
      </c>
      <c r="P966" s="15">
        <f>IF(G966,INDEX(monster!$J$2:$J$606,MATCH(skill!C966,monster!$A$2:$A$606,0)),Q966)</f>
        <v>0</v>
      </c>
      <c r="Q966" s="70"/>
      <c r="R966" s="33">
        <v>100</v>
      </c>
    </row>
    <row r="967" spans="1:18" s="38" customFormat="1" x14ac:dyDescent="0.15">
      <c r="A967" s="32">
        <v>11011</v>
      </c>
      <c r="B967" s="32" t="s">
        <v>1262</v>
      </c>
      <c r="C967" s="31">
        <v>1525</v>
      </c>
      <c r="D967" s="32">
        <v>8</v>
      </c>
      <c r="E967" s="15">
        <f>INDEX(monster!$H$2:$H$617,MATCH(skill!C967,monster!$A$2:$A$617,0))</f>
        <v>263.89</v>
      </c>
      <c r="F967" s="15">
        <f>INDEX(monster!$I$2:$I$617,MATCH(C967,monster!$A$2:$A$617,0))</f>
        <v>7.92</v>
      </c>
      <c r="G967" s="15" t="b">
        <f t="shared" si="52"/>
        <v>0</v>
      </c>
      <c r="H967" s="31">
        <v>0</v>
      </c>
      <c r="I967" s="15">
        <f>IF(H967&gt;0,HLOOKUP(R967/100,数值规划表!$B$37:$AA$39,3),1)</f>
        <v>1</v>
      </c>
      <c r="J967" s="31" t="s">
        <v>1672</v>
      </c>
      <c r="K967" s="15">
        <f>INDEX(数值规划表!$B$15:$B$18,MATCH(J967,攻击范围,0))</f>
        <v>0</v>
      </c>
      <c r="L967" s="30">
        <v>1</v>
      </c>
      <c r="M967" s="41">
        <v>0</v>
      </c>
      <c r="N967" s="15">
        <f t="shared" si="53"/>
        <v>0</v>
      </c>
      <c r="O967" s="15">
        <f t="shared" si="54"/>
        <v>0</v>
      </c>
      <c r="P967" s="15">
        <f>IF(G967,INDEX(monster!$J$2:$J$606,MATCH(skill!C967,monster!$A$2:$A$606,0)),Q967)</f>
        <v>0</v>
      </c>
      <c r="Q967" s="70"/>
      <c r="R967" s="33">
        <v>100</v>
      </c>
    </row>
    <row r="968" spans="1:18" s="38" customFormat="1" x14ac:dyDescent="0.15">
      <c r="A968" s="32">
        <v>11012</v>
      </c>
      <c r="B968" s="32" t="s">
        <v>1263</v>
      </c>
      <c r="C968" s="31">
        <v>1526</v>
      </c>
      <c r="D968" s="32">
        <v>9</v>
      </c>
      <c r="E968" s="15">
        <f>INDEX(monster!$H$2:$H$617,MATCH(skill!C968,monster!$A$2:$A$617,0))</f>
        <v>295.55</v>
      </c>
      <c r="F968" s="15">
        <f>INDEX(monster!$I$2:$I$617,MATCH(C968,monster!$A$2:$A$617,0))</f>
        <v>8.8699999999999992</v>
      </c>
      <c r="G968" s="15" t="b">
        <f t="shared" si="52"/>
        <v>0</v>
      </c>
      <c r="H968" s="31">
        <v>0</v>
      </c>
      <c r="I968" s="15">
        <f>IF(H968&gt;0,HLOOKUP(R968/100,数值规划表!$B$37:$AA$39,3),1)</f>
        <v>1</v>
      </c>
      <c r="J968" s="31" t="s">
        <v>1672</v>
      </c>
      <c r="K968" s="15">
        <f>INDEX(数值规划表!$B$15:$B$18,MATCH(J968,攻击范围,0))</f>
        <v>0</v>
      </c>
      <c r="L968" s="30">
        <v>1</v>
      </c>
      <c r="M968" s="41">
        <v>0</v>
      </c>
      <c r="N968" s="15">
        <f t="shared" si="53"/>
        <v>0</v>
      </c>
      <c r="O968" s="15">
        <f t="shared" si="54"/>
        <v>0</v>
      </c>
      <c r="P968" s="15">
        <f>IF(G968,INDEX(monster!$J$2:$J$606,MATCH(skill!C968,monster!$A$2:$A$606,0)),Q968)</f>
        <v>0</v>
      </c>
      <c r="Q968" s="70"/>
      <c r="R968" s="33">
        <v>100</v>
      </c>
    </row>
    <row r="969" spans="1:18" s="38" customFormat="1" x14ac:dyDescent="0.15">
      <c r="A969" s="32">
        <v>11013</v>
      </c>
      <c r="B969" s="32" t="s">
        <v>1264</v>
      </c>
      <c r="C969" s="31">
        <v>1527</v>
      </c>
      <c r="D969" s="32">
        <v>10</v>
      </c>
      <c r="E969" s="15">
        <f>INDEX(monster!$H$2:$H$617,MATCH(skill!C969,monster!$A$2:$A$617,0))</f>
        <v>331.02</v>
      </c>
      <c r="F969" s="15">
        <f>INDEX(monster!$I$2:$I$617,MATCH(C969,monster!$A$2:$A$617,0))</f>
        <v>9.93</v>
      </c>
      <c r="G969" s="15" t="b">
        <f t="shared" si="52"/>
        <v>0</v>
      </c>
      <c r="H969" s="31">
        <v>0</v>
      </c>
      <c r="I969" s="15">
        <f>IF(H969&gt;0,HLOOKUP(R969/100,数值规划表!$B$37:$AA$39,3),1)</f>
        <v>1</v>
      </c>
      <c r="J969" s="31" t="s">
        <v>1672</v>
      </c>
      <c r="K969" s="15">
        <f>INDEX(数值规划表!$B$15:$B$18,MATCH(J969,攻击范围,0))</f>
        <v>0</v>
      </c>
      <c r="L969" s="30">
        <v>1</v>
      </c>
      <c r="M969" s="41">
        <v>0</v>
      </c>
      <c r="N969" s="15">
        <f t="shared" si="53"/>
        <v>0</v>
      </c>
      <c r="O969" s="15">
        <f t="shared" si="54"/>
        <v>0</v>
      </c>
      <c r="P969" s="15">
        <f>IF(G969,INDEX(monster!$J$2:$J$606,MATCH(skill!C969,monster!$A$2:$A$606,0)),Q969)</f>
        <v>0</v>
      </c>
      <c r="Q969" s="70"/>
      <c r="R969" s="33">
        <v>100</v>
      </c>
    </row>
    <row r="970" spans="1:18" s="38" customFormat="1" x14ac:dyDescent="0.15">
      <c r="A970" s="32">
        <v>11014</v>
      </c>
      <c r="B970" s="32" t="s">
        <v>1585</v>
      </c>
      <c r="C970" s="31">
        <v>1206</v>
      </c>
      <c r="D970" s="32">
        <v>0</v>
      </c>
      <c r="E970" s="15">
        <f>INDEX(monster!$H$2:$H$617,MATCH(skill!C970,monster!$A$2:$A$617,0))</f>
        <v>41.25</v>
      </c>
      <c r="F970" s="15">
        <f>INDEX(monster!$I$2:$I$617,MATCH(C970,monster!$A$2:$A$617,0))</f>
        <v>1.24</v>
      </c>
      <c r="G970" s="15" t="b">
        <f t="shared" si="52"/>
        <v>0</v>
      </c>
      <c r="H970" s="31">
        <v>0</v>
      </c>
      <c r="I970" s="15">
        <f>IF(H970&gt;0,HLOOKUP(R970/100,数值规划表!$B$37:$AA$39,3),1)</f>
        <v>1</v>
      </c>
      <c r="J970" s="31" t="s">
        <v>1672</v>
      </c>
      <c r="K970" s="15">
        <f>INDEX(数值规划表!$B$15:$B$18,MATCH(J970,攻击范围,0))</f>
        <v>0</v>
      </c>
      <c r="L970" s="30">
        <v>1</v>
      </c>
      <c r="M970" s="41">
        <v>0</v>
      </c>
      <c r="N970" s="15">
        <f t="shared" si="53"/>
        <v>0</v>
      </c>
      <c r="O970" s="15">
        <f t="shared" si="54"/>
        <v>0</v>
      </c>
      <c r="P970" s="15">
        <f>IF(G970,INDEX(monster!$J$2:$J$606,MATCH(skill!C970,monster!$A$2:$A$606,0)),Q970)</f>
        <v>0</v>
      </c>
      <c r="Q970" s="70"/>
      <c r="R970" s="33">
        <v>0</v>
      </c>
    </row>
    <row r="971" spans="1:18" s="38" customFormat="1" x14ac:dyDescent="0.15">
      <c r="A971" s="32">
        <v>11015</v>
      </c>
      <c r="B971" s="32" t="s">
        <v>1586</v>
      </c>
      <c r="C971" s="31">
        <v>1207</v>
      </c>
      <c r="D971" s="32">
        <v>1</v>
      </c>
      <c r="E971" s="15">
        <f>INDEX(monster!$H$2:$H$617,MATCH(skill!C971,monster!$A$2:$A$617,0))</f>
        <v>46.2</v>
      </c>
      <c r="F971" s="15">
        <f>INDEX(monster!$I$2:$I$617,MATCH(C971,monster!$A$2:$A$617,0))</f>
        <v>1.39</v>
      </c>
      <c r="G971" s="15" t="b">
        <f t="shared" si="52"/>
        <v>0</v>
      </c>
      <c r="H971" s="31">
        <v>0</v>
      </c>
      <c r="I971" s="15">
        <f>IF(H971&gt;0,HLOOKUP(R971/100,数值规划表!$B$37:$AA$39,3),1)</f>
        <v>1</v>
      </c>
      <c r="J971" s="31" t="s">
        <v>1672</v>
      </c>
      <c r="K971" s="15">
        <f>INDEX(数值规划表!$B$15:$B$18,MATCH(J971,攻击范围,0))</f>
        <v>0</v>
      </c>
      <c r="L971" s="30">
        <v>1</v>
      </c>
      <c r="M971" s="41">
        <v>0</v>
      </c>
      <c r="N971" s="15">
        <f t="shared" si="53"/>
        <v>0</v>
      </c>
      <c r="O971" s="15">
        <f t="shared" si="54"/>
        <v>0</v>
      </c>
      <c r="P971" s="15">
        <f>IF(G971,INDEX(monster!$J$2:$J$606,MATCH(skill!C971,monster!$A$2:$A$606,0)),Q971)</f>
        <v>0</v>
      </c>
      <c r="Q971" s="70"/>
      <c r="R971" s="33">
        <v>0</v>
      </c>
    </row>
    <row r="972" spans="1:18" s="38" customFormat="1" x14ac:dyDescent="0.15">
      <c r="A972" s="32">
        <v>11016</v>
      </c>
      <c r="B972" s="32" t="s">
        <v>1265</v>
      </c>
      <c r="C972" s="31">
        <v>1208</v>
      </c>
      <c r="D972" s="32">
        <v>2</v>
      </c>
      <c r="E972" s="15">
        <f>INDEX(monster!$H$2:$H$617,MATCH(skill!C972,monster!$A$2:$A$617,0))</f>
        <v>51.74</v>
      </c>
      <c r="F972" s="15">
        <f>INDEX(monster!$I$2:$I$617,MATCH(C972,monster!$A$2:$A$617,0))</f>
        <v>1.55</v>
      </c>
      <c r="G972" s="15" t="b">
        <f t="shared" si="52"/>
        <v>0</v>
      </c>
      <c r="H972" s="31">
        <v>0</v>
      </c>
      <c r="I972" s="15">
        <f>IF(H972&gt;0,HLOOKUP(R972/100,数值规划表!$B$37:$AA$39,3),1)</f>
        <v>1</v>
      </c>
      <c r="J972" s="31" t="s">
        <v>1672</v>
      </c>
      <c r="K972" s="15">
        <f>INDEX(数值规划表!$B$15:$B$18,MATCH(J972,攻击范围,0))</f>
        <v>0</v>
      </c>
      <c r="L972" s="30">
        <v>1</v>
      </c>
      <c r="M972" s="41">
        <v>0</v>
      </c>
      <c r="N972" s="15">
        <f t="shared" si="53"/>
        <v>0</v>
      </c>
      <c r="O972" s="15">
        <f t="shared" si="54"/>
        <v>0</v>
      </c>
      <c r="P972" s="15">
        <f>IF(G972,INDEX(monster!$J$2:$J$606,MATCH(skill!C972,monster!$A$2:$A$606,0)),Q972)</f>
        <v>0</v>
      </c>
      <c r="Q972" s="70"/>
      <c r="R972" s="33">
        <v>0</v>
      </c>
    </row>
    <row r="973" spans="1:18" s="38" customFormat="1" x14ac:dyDescent="0.15">
      <c r="A973" s="32">
        <v>11017</v>
      </c>
      <c r="B973" s="32" t="s">
        <v>1266</v>
      </c>
      <c r="C973" s="31">
        <v>1209</v>
      </c>
      <c r="D973" s="32">
        <v>3</v>
      </c>
      <c r="E973" s="15">
        <f>INDEX(monster!$H$2:$H$617,MATCH(skill!C973,monster!$A$2:$A$617,0))</f>
        <v>57.95</v>
      </c>
      <c r="F973" s="15">
        <f>INDEX(monster!$I$2:$I$617,MATCH(C973,monster!$A$2:$A$617,0))</f>
        <v>1.74</v>
      </c>
      <c r="G973" s="15" t="b">
        <f t="shared" si="52"/>
        <v>0</v>
      </c>
      <c r="H973" s="31">
        <v>0</v>
      </c>
      <c r="I973" s="15">
        <f>IF(H973&gt;0,HLOOKUP(R973/100,数值规划表!$B$37:$AA$39,3),1)</f>
        <v>1</v>
      </c>
      <c r="J973" s="31" t="s">
        <v>1672</v>
      </c>
      <c r="K973" s="15">
        <f>INDEX(数值规划表!$B$15:$B$18,MATCH(J973,攻击范围,0))</f>
        <v>0</v>
      </c>
      <c r="L973" s="30">
        <v>1</v>
      </c>
      <c r="M973" s="41">
        <v>0</v>
      </c>
      <c r="N973" s="15">
        <f t="shared" si="53"/>
        <v>0</v>
      </c>
      <c r="O973" s="15">
        <f t="shared" si="54"/>
        <v>0</v>
      </c>
      <c r="P973" s="15">
        <f>IF(G973,INDEX(monster!$J$2:$J$606,MATCH(skill!C973,monster!$A$2:$A$606,0)),Q973)</f>
        <v>0</v>
      </c>
      <c r="Q973" s="70"/>
      <c r="R973" s="33">
        <v>0</v>
      </c>
    </row>
    <row r="974" spans="1:18" s="38" customFormat="1" x14ac:dyDescent="0.15">
      <c r="A974" s="32">
        <v>11018</v>
      </c>
      <c r="B974" s="32" t="s">
        <v>1267</v>
      </c>
      <c r="C974" s="31">
        <v>1210</v>
      </c>
      <c r="D974" s="32">
        <v>4</v>
      </c>
      <c r="E974" s="15">
        <f>INDEX(monster!$H$2:$H$617,MATCH(skill!C974,monster!$A$2:$A$617,0))</f>
        <v>64.91</v>
      </c>
      <c r="F974" s="15">
        <f>INDEX(monster!$I$2:$I$617,MATCH(C974,monster!$A$2:$A$617,0))</f>
        <v>1.95</v>
      </c>
      <c r="G974" s="15" t="b">
        <f t="shared" si="52"/>
        <v>0</v>
      </c>
      <c r="H974" s="31">
        <v>0</v>
      </c>
      <c r="I974" s="15">
        <f>IF(H974&gt;0,HLOOKUP(R974/100,数值规划表!$B$37:$AA$39,3),1)</f>
        <v>1</v>
      </c>
      <c r="J974" s="31" t="s">
        <v>1672</v>
      </c>
      <c r="K974" s="15">
        <f>INDEX(数值规划表!$B$15:$B$18,MATCH(J974,攻击范围,0))</f>
        <v>0</v>
      </c>
      <c r="L974" s="30">
        <v>1</v>
      </c>
      <c r="M974" s="41">
        <v>0</v>
      </c>
      <c r="N974" s="15">
        <f t="shared" si="53"/>
        <v>0</v>
      </c>
      <c r="O974" s="15">
        <f t="shared" si="54"/>
        <v>0</v>
      </c>
      <c r="P974" s="15">
        <f>IF(G974,INDEX(monster!$J$2:$J$606,MATCH(skill!C974,monster!$A$2:$A$606,0)),Q974)</f>
        <v>0</v>
      </c>
      <c r="Q974" s="70"/>
      <c r="R974" s="33">
        <v>0</v>
      </c>
    </row>
    <row r="975" spans="1:18" s="38" customFormat="1" x14ac:dyDescent="0.15">
      <c r="A975" s="32">
        <v>11019</v>
      </c>
      <c r="B975" s="32" t="s">
        <v>1268</v>
      </c>
      <c r="C975" s="31">
        <v>1211</v>
      </c>
      <c r="D975" s="32">
        <v>5</v>
      </c>
      <c r="E975" s="15">
        <f>INDEX(monster!$H$2:$H$617,MATCH(skill!C975,monster!$A$2:$A$617,0))</f>
        <v>72.7</v>
      </c>
      <c r="F975" s="15">
        <f>INDEX(monster!$I$2:$I$617,MATCH(C975,monster!$A$2:$A$617,0))</f>
        <v>2.1800000000000002</v>
      </c>
      <c r="G975" s="15" t="b">
        <f t="shared" si="52"/>
        <v>0</v>
      </c>
      <c r="H975" s="31">
        <v>0</v>
      </c>
      <c r="I975" s="15">
        <f>IF(H975&gt;0,HLOOKUP(R975/100,数值规划表!$B$37:$AA$39,3),1)</f>
        <v>1</v>
      </c>
      <c r="J975" s="31" t="s">
        <v>1672</v>
      </c>
      <c r="K975" s="15">
        <f>INDEX(数值规划表!$B$15:$B$18,MATCH(J975,攻击范围,0))</f>
        <v>0</v>
      </c>
      <c r="L975" s="30">
        <v>1</v>
      </c>
      <c r="M975" s="41">
        <v>0</v>
      </c>
      <c r="N975" s="15">
        <f t="shared" si="53"/>
        <v>0</v>
      </c>
      <c r="O975" s="15">
        <f t="shared" si="54"/>
        <v>0</v>
      </c>
      <c r="P975" s="15">
        <f>IF(G975,INDEX(monster!$J$2:$J$606,MATCH(skill!C975,monster!$A$2:$A$606,0)),Q975)</f>
        <v>0</v>
      </c>
      <c r="Q975" s="70"/>
      <c r="R975" s="33">
        <v>0</v>
      </c>
    </row>
    <row r="976" spans="1:18" s="38" customFormat="1" x14ac:dyDescent="0.15">
      <c r="A976" s="32">
        <v>11020</v>
      </c>
      <c r="B976" s="32" t="s">
        <v>1269</v>
      </c>
      <c r="C976" s="31">
        <v>1212</v>
      </c>
      <c r="D976" s="32">
        <v>6</v>
      </c>
      <c r="E976" s="15">
        <f>INDEX(monster!$H$2:$H$617,MATCH(skill!C976,monster!$A$2:$A$617,0))</f>
        <v>81.42</v>
      </c>
      <c r="F976" s="15">
        <f>INDEX(monster!$I$2:$I$617,MATCH(C976,monster!$A$2:$A$617,0))</f>
        <v>2.44</v>
      </c>
      <c r="G976" s="15" t="b">
        <f t="shared" si="52"/>
        <v>0</v>
      </c>
      <c r="H976" s="31">
        <v>0</v>
      </c>
      <c r="I976" s="15">
        <f>IF(H976&gt;0,HLOOKUP(R976/100,数值规划表!$B$37:$AA$39,3),1)</f>
        <v>1</v>
      </c>
      <c r="J976" s="31" t="s">
        <v>1672</v>
      </c>
      <c r="K976" s="15">
        <f>INDEX(数值规划表!$B$15:$B$18,MATCH(J976,攻击范围,0))</f>
        <v>0</v>
      </c>
      <c r="L976" s="30">
        <v>1</v>
      </c>
      <c r="M976" s="41">
        <v>0</v>
      </c>
      <c r="N976" s="15">
        <f t="shared" si="53"/>
        <v>0</v>
      </c>
      <c r="O976" s="15">
        <f t="shared" si="54"/>
        <v>0</v>
      </c>
      <c r="P976" s="15">
        <f>IF(G976,INDEX(monster!$J$2:$J$606,MATCH(skill!C976,monster!$A$2:$A$606,0)),Q976)</f>
        <v>0</v>
      </c>
      <c r="Q976" s="70"/>
      <c r="R976" s="33">
        <v>0</v>
      </c>
    </row>
    <row r="977" spans="1:18" s="38" customFormat="1" x14ac:dyDescent="0.15">
      <c r="A977" s="32">
        <v>11021</v>
      </c>
      <c r="B977" s="32" t="s">
        <v>1270</v>
      </c>
      <c r="C977" s="31">
        <v>1213</v>
      </c>
      <c r="D977" s="32">
        <v>7</v>
      </c>
      <c r="E977" s="15">
        <f>INDEX(monster!$H$2:$H$617,MATCH(skill!C977,monster!$A$2:$A$617,0))</f>
        <v>91.19</v>
      </c>
      <c r="F977" s="15">
        <f>INDEX(monster!$I$2:$I$617,MATCH(C977,monster!$A$2:$A$617,0))</f>
        <v>2.74</v>
      </c>
      <c r="G977" s="15" t="b">
        <f t="shared" si="52"/>
        <v>0</v>
      </c>
      <c r="H977" s="31">
        <v>0</v>
      </c>
      <c r="I977" s="15">
        <f>IF(H977&gt;0,HLOOKUP(R977/100,数值规划表!$B$37:$AA$39,3),1)</f>
        <v>1</v>
      </c>
      <c r="J977" s="31" t="s">
        <v>1672</v>
      </c>
      <c r="K977" s="15">
        <f>INDEX(数值规划表!$B$15:$B$18,MATCH(J977,攻击范围,0))</f>
        <v>0</v>
      </c>
      <c r="L977" s="30">
        <v>1</v>
      </c>
      <c r="M977" s="41">
        <v>0</v>
      </c>
      <c r="N977" s="15">
        <f t="shared" si="53"/>
        <v>0</v>
      </c>
      <c r="O977" s="15">
        <f t="shared" si="54"/>
        <v>0</v>
      </c>
      <c r="P977" s="15">
        <f>IF(G977,INDEX(monster!$J$2:$J$606,MATCH(skill!C977,monster!$A$2:$A$606,0)),Q977)</f>
        <v>0</v>
      </c>
      <c r="Q977" s="70"/>
      <c r="R977" s="33">
        <v>0</v>
      </c>
    </row>
    <row r="978" spans="1:18" s="38" customFormat="1" x14ac:dyDescent="0.15">
      <c r="A978" s="32">
        <v>11022</v>
      </c>
      <c r="B978" s="32" t="s">
        <v>1271</v>
      </c>
      <c r="C978" s="31">
        <v>1214</v>
      </c>
      <c r="D978" s="32">
        <v>8</v>
      </c>
      <c r="E978" s="15">
        <f>INDEX(monster!$H$2:$H$617,MATCH(skill!C978,monster!$A$2:$A$617,0))</f>
        <v>102.13</v>
      </c>
      <c r="F978" s="15">
        <f>INDEX(monster!$I$2:$I$617,MATCH(C978,monster!$A$2:$A$617,0))</f>
        <v>3.06</v>
      </c>
      <c r="G978" s="15" t="b">
        <f t="shared" si="52"/>
        <v>0</v>
      </c>
      <c r="H978" s="31">
        <v>0</v>
      </c>
      <c r="I978" s="15">
        <f>IF(H978&gt;0,HLOOKUP(R978/100,数值规划表!$B$37:$AA$39,3),1)</f>
        <v>1</v>
      </c>
      <c r="J978" s="31" t="s">
        <v>1672</v>
      </c>
      <c r="K978" s="15">
        <f>INDEX(数值规划表!$B$15:$B$18,MATCH(J978,攻击范围,0))</f>
        <v>0</v>
      </c>
      <c r="L978" s="30">
        <v>1</v>
      </c>
      <c r="M978" s="41">
        <v>0</v>
      </c>
      <c r="N978" s="15">
        <f t="shared" si="53"/>
        <v>0</v>
      </c>
      <c r="O978" s="15">
        <f t="shared" si="54"/>
        <v>0</v>
      </c>
      <c r="P978" s="15">
        <f>IF(G978,INDEX(monster!$J$2:$J$606,MATCH(skill!C978,monster!$A$2:$A$606,0)),Q978)</f>
        <v>0</v>
      </c>
      <c r="Q978" s="70"/>
      <c r="R978" s="33">
        <v>0</v>
      </c>
    </row>
    <row r="979" spans="1:18" s="38" customFormat="1" x14ac:dyDescent="0.15">
      <c r="A979" s="32">
        <v>11023</v>
      </c>
      <c r="B979" s="32" t="s">
        <v>1272</v>
      </c>
      <c r="C979" s="31">
        <v>1215</v>
      </c>
      <c r="D979" s="32">
        <v>9</v>
      </c>
      <c r="E979" s="15">
        <f>INDEX(monster!$H$2:$H$617,MATCH(skill!C979,monster!$A$2:$A$617,0))</f>
        <v>114.39</v>
      </c>
      <c r="F979" s="15">
        <f>INDEX(monster!$I$2:$I$617,MATCH(C979,monster!$A$2:$A$617,0))</f>
        <v>3.43</v>
      </c>
      <c r="G979" s="15" t="b">
        <f t="shared" si="52"/>
        <v>0</v>
      </c>
      <c r="H979" s="31">
        <v>0</v>
      </c>
      <c r="I979" s="15">
        <f>IF(H979&gt;0,HLOOKUP(R979/100,数值规划表!$B$37:$AA$39,3),1)</f>
        <v>1</v>
      </c>
      <c r="J979" s="31" t="s">
        <v>1672</v>
      </c>
      <c r="K979" s="15">
        <f>INDEX(数值规划表!$B$15:$B$18,MATCH(J979,攻击范围,0))</f>
        <v>0</v>
      </c>
      <c r="L979" s="30">
        <v>1</v>
      </c>
      <c r="M979" s="41">
        <v>0</v>
      </c>
      <c r="N979" s="15">
        <f t="shared" si="53"/>
        <v>0</v>
      </c>
      <c r="O979" s="15">
        <f t="shared" si="54"/>
        <v>0</v>
      </c>
      <c r="P979" s="15">
        <f>IF(G979,INDEX(monster!$J$2:$J$606,MATCH(skill!C979,monster!$A$2:$A$606,0)),Q979)</f>
        <v>0</v>
      </c>
      <c r="Q979" s="70"/>
      <c r="R979" s="33">
        <v>0</v>
      </c>
    </row>
    <row r="980" spans="1:18" s="38" customFormat="1" x14ac:dyDescent="0.15">
      <c r="A980" s="32">
        <v>11024</v>
      </c>
      <c r="B980" s="32" t="s">
        <v>1273</v>
      </c>
      <c r="C980" s="31">
        <v>1216</v>
      </c>
      <c r="D980" s="32">
        <v>10</v>
      </c>
      <c r="E980" s="15">
        <f>INDEX(monster!$H$2:$H$617,MATCH(skill!C980,monster!$A$2:$A$617,0))</f>
        <v>128.12</v>
      </c>
      <c r="F980" s="15">
        <f>INDEX(monster!$I$2:$I$617,MATCH(C980,monster!$A$2:$A$617,0))</f>
        <v>3.84</v>
      </c>
      <c r="G980" s="15" t="b">
        <f t="shared" si="52"/>
        <v>0</v>
      </c>
      <c r="H980" s="31">
        <v>0</v>
      </c>
      <c r="I980" s="15">
        <f>IF(H980&gt;0,HLOOKUP(R980/100,数值规划表!$B$37:$AA$39,3),1)</f>
        <v>1</v>
      </c>
      <c r="J980" s="31" t="s">
        <v>1672</v>
      </c>
      <c r="K980" s="15">
        <f>INDEX(数值规划表!$B$15:$B$18,MATCH(J980,攻击范围,0))</f>
        <v>0</v>
      </c>
      <c r="L980" s="30">
        <v>1</v>
      </c>
      <c r="M980" s="41">
        <v>0</v>
      </c>
      <c r="N980" s="15">
        <f t="shared" si="53"/>
        <v>0</v>
      </c>
      <c r="O980" s="15">
        <f t="shared" si="54"/>
        <v>0</v>
      </c>
      <c r="P980" s="15">
        <f>IF(G980,INDEX(monster!$J$2:$J$606,MATCH(skill!C980,monster!$A$2:$A$606,0)),Q980)</f>
        <v>0</v>
      </c>
      <c r="Q980" s="70"/>
      <c r="R980" s="33">
        <v>0</v>
      </c>
    </row>
    <row r="981" spans="1:18" s="38" customFormat="1" x14ac:dyDescent="0.15">
      <c r="A981" s="32">
        <v>11025</v>
      </c>
      <c r="B981" s="32" t="s">
        <v>1587</v>
      </c>
      <c r="C981" s="31">
        <v>1539</v>
      </c>
      <c r="D981" s="32">
        <v>0</v>
      </c>
      <c r="E981" s="15">
        <f>INDEX(monster!$H$2:$H$617,MATCH(skill!C981,monster!$A$2:$A$617,0))</f>
        <v>44.2</v>
      </c>
      <c r="F981" s="15">
        <f>INDEX(monster!$I$2:$I$617,MATCH(C981,monster!$A$2:$A$617,0))</f>
        <v>1.33</v>
      </c>
      <c r="G981" s="15" t="b">
        <f t="shared" si="52"/>
        <v>1</v>
      </c>
      <c r="H981" s="31">
        <v>1</v>
      </c>
      <c r="I981" s="15">
        <f>IF(H981&gt;0,HLOOKUP(R981/100,数值规划表!$B$37:$AA$39,3),1)</f>
        <v>1.296</v>
      </c>
      <c r="J981" s="31" t="s">
        <v>1625</v>
      </c>
      <c r="K981" s="15">
        <f>INDEX(数值规划表!$B$15:$B$18,MATCH(J981,攻击范围,0))</f>
        <v>1</v>
      </c>
      <c r="L981" s="30">
        <v>0.8</v>
      </c>
      <c r="M981" s="41">
        <v>0</v>
      </c>
      <c r="N981" s="15">
        <f t="shared" si="53"/>
        <v>46</v>
      </c>
      <c r="O981" s="15">
        <f t="shared" si="54"/>
        <v>1.38</v>
      </c>
      <c r="P981" s="15">
        <f>IF(G981,INDEX(monster!$J$2:$J$606,MATCH(skill!C981,monster!$A$2:$A$606,0)),Q981)</f>
        <v>5</v>
      </c>
      <c r="Q981" s="70"/>
      <c r="R981" s="33">
        <v>120</v>
      </c>
    </row>
    <row r="982" spans="1:18" s="38" customFormat="1" x14ac:dyDescent="0.15">
      <c r="A982" s="32">
        <v>11026</v>
      </c>
      <c r="B982" s="32" t="s">
        <v>1588</v>
      </c>
      <c r="C982" s="31">
        <v>1540</v>
      </c>
      <c r="D982" s="32">
        <v>1</v>
      </c>
      <c r="E982" s="15">
        <f>INDEX(monster!$H$2:$H$617,MATCH(skill!C982,monster!$A$2:$A$617,0))</f>
        <v>49.5</v>
      </c>
      <c r="F982" s="15">
        <f>INDEX(monster!$I$2:$I$617,MATCH(C982,monster!$A$2:$A$617,0))</f>
        <v>1.49</v>
      </c>
      <c r="G982" s="15" t="b">
        <f t="shared" si="52"/>
        <v>1</v>
      </c>
      <c r="H982" s="31">
        <v>1</v>
      </c>
      <c r="I982" s="15">
        <f>IF(H982&gt;0,HLOOKUP(R982/100,数值规划表!$B$37:$AA$39,3),1)</f>
        <v>1.296</v>
      </c>
      <c r="J982" s="31" t="s">
        <v>1625</v>
      </c>
      <c r="K982" s="15">
        <f>INDEX(数值规划表!$B$15:$B$18,MATCH(J982,攻击范围,0))</f>
        <v>1</v>
      </c>
      <c r="L982" s="41">
        <v>0.8</v>
      </c>
      <c r="M982" s="41">
        <v>0</v>
      </c>
      <c r="N982" s="15">
        <f t="shared" si="53"/>
        <v>51</v>
      </c>
      <c r="O982" s="15">
        <f t="shared" si="54"/>
        <v>1.54</v>
      </c>
      <c r="P982" s="15">
        <f>IF(G982,INDEX(monster!$J$2:$J$606,MATCH(skill!C982,monster!$A$2:$A$606,0)),Q982)</f>
        <v>5</v>
      </c>
      <c r="Q982" s="70"/>
      <c r="R982" s="33">
        <v>120</v>
      </c>
    </row>
    <row r="983" spans="1:18" s="38" customFormat="1" x14ac:dyDescent="0.15">
      <c r="A983" s="32">
        <v>11027</v>
      </c>
      <c r="B983" s="32" t="s">
        <v>1274</v>
      </c>
      <c r="C983" s="31">
        <v>1541</v>
      </c>
      <c r="D983" s="32">
        <v>2</v>
      </c>
      <c r="E983" s="15">
        <f>INDEX(monster!$H$2:$H$617,MATCH(skill!C983,monster!$A$2:$A$617,0))</f>
        <v>55.44</v>
      </c>
      <c r="F983" s="15">
        <f>INDEX(monster!$I$2:$I$617,MATCH(C983,monster!$A$2:$A$617,0))</f>
        <v>1.66</v>
      </c>
      <c r="G983" s="15" t="b">
        <f t="shared" si="52"/>
        <v>1</v>
      </c>
      <c r="H983" s="31">
        <v>1</v>
      </c>
      <c r="I983" s="15">
        <f>IF(H983&gt;0,HLOOKUP(R983/100,数值规划表!$B$37:$AA$39,3),1)</f>
        <v>1.296</v>
      </c>
      <c r="J983" s="31" t="s">
        <v>1625</v>
      </c>
      <c r="K983" s="15">
        <f>INDEX(数值规划表!$B$15:$B$18,MATCH(J983,攻击范围,0))</f>
        <v>1</v>
      </c>
      <c r="L983" s="41">
        <v>0.8</v>
      </c>
      <c r="M983" s="41">
        <v>0</v>
      </c>
      <c r="N983" s="15">
        <f t="shared" si="53"/>
        <v>57</v>
      </c>
      <c r="O983" s="15">
        <f t="shared" si="54"/>
        <v>1.72</v>
      </c>
      <c r="P983" s="15">
        <f>IF(G983,INDEX(monster!$J$2:$J$606,MATCH(skill!C983,monster!$A$2:$A$606,0)),Q983)</f>
        <v>5</v>
      </c>
      <c r="Q983" s="70"/>
      <c r="R983" s="33">
        <v>120</v>
      </c>
    </row>
    <row r="984" spans="1:18" s="38" customFormat="1" x14ac:dyDescent="0.15">
      <c r="A984" s="32">
        <v>11028</v>
      </c>
      <c r="B984" s="32" t="s">
        <v>1275</v>
      </c>
      <c r="C984" s="31">
        <v>1542</v>
      </c>
      <c r="D984" s="32">
        <v>3</v>
      </c>
      <c r="E984" s="15">
        <f>INDEX(monster!$H$2:$H$617,MATCH(skill!C984,monster!$A$2:$A$617,0))</f>
        <v>62.1</v>
      </c>
      <c r="F984" s="15">
        <f>INDEX(monster!$I$2:$I$617,MATCH(C984,monster!$A$2:$A$617,0))</f>
        <v>1.86</v>
      </c>
      <c r="G984" s="15" t="b">
        <f t="shared" si="52"/>
        <v>1</v>
      </c>
      <c r="H984" s="31">
        <v>1</v>
      </c>
      <c r="I984" s="15">
        <f>IF(H984&gt;0,HLOOKUP(R984/100,数值规划表!$B$37:$AA$39,3),1)</f>
        <v>1.296</v>
      </c>
      <c r="J984" s="31" t="s">
        <v>1625</v>
      </c>
      <c r="K984" s="15">
        <f>INDEX(数值规划表!$B$15:$B$18,MATCH(J984,攻击范围,0))</f>
        <v>1</v>
      </c>
      <c r="L984" s="41">
        <v>0.8</v>
      </c>
      <c r="M984" s="41">
        <v>0</v>
      </c>
      <c r="N984" s="15">
        <f t="shared" si="53"/>
        <v>64</v>
      </c>
      <c r="O984" s="15">
        <f t="shared" si="54"/>
        <v>1.93</v>
      </c>
      <c r="P984" s="15">
        <f>IF(G984,INDEX(monster!$J$2:$J$606,MATCH(skill!C984,monster!$A$2:$A$606,0)),Q984)</f>
        <v>5</v>
      </c>
      <c r="Q984" s="70"/>
      <c r="R984" s="33">
        <v>120</v>
      </c>
    </row>
    <row r="985" spans="1:18" s="38" customFormat="1" x14ac:dyDescent="0.15">
      <c r="A985" s="32">
        <v>11029</v>
      </c>
      <c r="B985" s="32" t="s">
        <v>1276</v>
      </c>
      <c r="C985" s="31">
        <v>1543</v>
      </c>
      <c r="D985" s="32">
        <v>4</v>
      </c>
      <c r="E985" s="15">
        <f>INDEX(monster!$H$2:$H$617,MATCH(skill!C985,monster!$A$2:$A$617,0))</f>
        <v>69.55</v>
      </c>
      <c r="F985" s="15">
        <f>INDEX(monster!$I$2:$I$617,MATCH(C985,monster!$A$2:$A$617,0))</f>
        <v>2.09</v>
      </c>
      <c r="G985" s="15" t="b">
        <f t="shared" si="52"/>
        <v>1</v>
      </c>
      <c r="H985" s="31">
        <v>1</v>
      </c>
      <c r="I985" s="15">
        <f>IF(H985&gt;0,HLOOKUP(R985/100,数值规划表!$B$37:$AA$39,3),1)</f>
        <v>1.296</v>
      </c>
      <c r="J985" s="31" t="s">
        <v>1625</v>
      </c>
      <c r="K985" s="15">
        <f>INDEX(数值规划表!$B$15:$B$18,MATCH(J985,攻击范围,0))</f>
        <v>1</v>
      </c>
      <c r="L985" s="41">
        <v>0.8</v>
      </c>
      <c r="M985" s="41">
        <v>0</v>
      </c>
      <c r="N985" s="15">
        <f t="shared" si="53"/>
        <v>72</v>
      </c>
      <c r="O985" s="15">
        <f t="shared" si="54"/>
        <v>2.17</v>
      </c>
      <c r="P985" s="15">
        <f>IF(G985,INDEX(monster!$J$2:$J$606,MATCH(skill!C985,monster!$A$2:$A$606,0)),Q985)</f>
        <v>5</v>
      </c>
      <c r="Q985" s="70"/>
      <c r="R985" s="33">
        <v>120</v>
      </c>
    </row>
    <row r="986" spans="1:18" s="38" customFormat="1" x14ac:dyDescent="0.15">
      <c r="A986" s="32">
        <v>11030</v>
      </c>
      <c r="B986" s="32" t="s">
        <v>1277</v>
      </c>
      <c r="C986" s="31">
        <v>1544</v>
      </c>
      <c r="D986" s="32">
        <v>5</v>
      </c>
      <c r="E986" s="15">
        <f>INDEX(monster!$H$2:$H$617,MATCH(skill!C986,monster!$A$2:$A$617,0))</f>
        <v>77.900000000000006</v>
      </c>
      <c r="F986" s="15">
        <f>INDEX(monster!$I$2:$I$617,MATCH(C986,monster!$A$2:$A$617,0))</f>
        <v>2.34</v>
      </c>
      <c r="G986" s="15" t="b">
        <f t="shared" si="52"/>
        <v>1</v>
      </c>
      <c r="H986" s="31">
        <v>1</v>
      </c>
      <c r="I986" s="15">
        <f>IF(H986&gt;0,HLOOKUP(R986/100,数值规划表!$B$37:$AA$39,3),1)</f>
        <v>1.296</v>
      </c>
      <c r="J986" s="31" t="s">
        <v>1625</v>
      </c>
      <c r="K986" s="15">
        <f>INDEX(数值规划表!$B$15:$B$18,MATCH(J986,攻击范围,0))</f>
        <v>1</v>
      </c>
      <c r="L986" s="41">
        <v>0.8</v>
      </c>
      <c r="M986" s="41">
        <v>0</v>
      </c>
      <c r="N986" s="15">
        <f t="shared" si="53"/>
        <v>81</v>
      </c>
      <c r="O986" s="15">
        <f t="shared" si="54"/>
        <v>2.4300000000000002</v>
      </c>
      <c r="P986" s="15">
        <f>IF(G986,INDEX(monster!$J$2:$J$606,MATCH(skill!C986,monster!$A$2:$A$606,0)),Q986)</f>
        <v>5</v>
      </c>
      <c r="Q986" s="70"/>
      <c r="R986" s="33">
        <v>120</v>
      </c>
    </row>
    <row r="987" spans="1:18" s="38" customFormat="1" x14ac:dyDescent="0.15">
      <c r="A987" s="32">
        <v>11031</v>
      </c>
      <c r="B987" s="32" t="s">
        <v>1278</v>
      </c>
      <c r="C987" s="31">
        <v>1545</v>
      </c>
      <c r="D987" s="32">
        <v>6</v>
      </c>
      <c r="E987" s="15">
        <f>INDEX(monster!$H$2:$H$617,MATCH(skill!C987,monster!$A$2:$A$617,0))</f>
        <v>87.24</v>
      </c>
      <c r="F987" s="15">
        <f>INDEX(monster!$I$2:$I$617,MATCH(C987,monster!$A$2:$A$617,0))</f>
        <v>2.62</v>
      </c>
      <c r="G987" s="15" t="b">
        <f t="shared" si="52"/>
        <v>1</v>
      </c>
      <c r="H987" s="31">
        <v>1</v>
      </c>
      <c r="I987" s="15">
        <f>IF(H987&gt;0,HLOOKUP(R987/100,数值规划表!$B$37:$AA$39,3),1)</f>
        <v>1.296</v>
      </c>
      <c r="J987" s="31" t="s">
        <v>1625</v>
      </c>
      <c r="K987" s="15">
        <f>INDEX(数值规划表!$B$15:$B$18,MATCH(J987,攻击范围,0))</f>
        <v>1</v>
      </c>
      <c r="L987" s="41">
        <v>0.8</v>
      </c>
      <c r="M987" s="41">
        <v>0</v>
      </c>
      <c r="N987" s="15">
        <f t="shared" si="53"/>
        <v>90</v>
      </c>
      <c r="O987" s="15">
        <f t="shared" si="54"/>
        <v>2.72</v>
      </c>
      <c r="P987" s="15">
        <f>IF(G987,INDEX(monster!$J$2:$J$606,MATCH(skill!C987,monster!$A$2:$A$606,0)),Q987)</f>
        <v>5</v>
      </c>
      <c r="Q987" s="70"/>
      <c r="R987" s="33">
        <v>120</v>
      </c>
    </row>
    <row r="988" spans="1:18" s="38" customFormat="1" x14ac:dyDescent="0.15">
      <c r="A988" s="32">
        <v>11032</v>
      </c>
      <c r="B988" s="32" t="s">
        <v>1279</v>
      </c>
      <c r="C988" s="31">
        <v>1546</v>
      </c>
      <c r="D988" s="32">
        <v>7</v>
      </c>
      <c r="E988" s="15">
        <f>INDEX(monster!$H$2:$H$617,MATCH(skill!C988,monster!$A$2:$A$617,0))</f>
        <v>97.71</v>
      </c>
      <c r="F988" s="15">
        <f>INDEX(monster!$I$2:$I$617,MATCH(C988,monster!$A$2:$A$617,0))</f>
        <v>2.93</v>
      </c>
      <c r="G988" s="15" t="b">
        <f t="shared" si="52"/>
        <v>1</v>
      </c>
      <c r="H988" s="31">
        <v>1</v>
      </c>
      <c r="I988" s="15">
        <f>IF(H988&gt;0,HLOOKUP(R988/100,数值规划表!$B$37:$AA$39,3),1)</f>
        <v>1.296</v>
      </c>
      <c r="J988" s="31" t="s">
        <v>1625</v>
      </c>
      <c r="K988" s="15">
        <f>INDEX(数值规划表!$B$15:$B$18,MATCH(J988,攻击范围,0))</f>
        <v>1</v>
      </c>
      <c r="L988" s="41">
        <v>0.8</v>
      </c>
      <c r="M988" s="41">
        <v>0</v>
      </c>
      <c r="N988" s="15">
        <f t="shared" si="53"/>
        <v>101</v>
      </c>
      <c r="O988" s="15">
        <f t="shared" si="54"/>
        <v>3.04</v>
      </c>
      <c r="P988" s="15">
        <f>IF(G988,INDEX(monster!$J$2:$J$606,MATCH(skill!C988,monster!$A$2:$A$606,0)),Q988)</f>
        <v>5</v>
      </c>
      <c r="Q988" s="70"/>
      <c r="R988" s="33">
        <v>120</v>
      </c>
    </row>
    <row r="989" spans="1:18" s="38" customFormat="1" x14ac:dyDescent="0.15">
      <c r="A989" s="32">
        <v>11033</v>
      </c>
      <c r="B989" s="32" t="s">
        <v>1280</v>
      </c>
      <c r="C989" s="31">
        <v>1547</v>
      </c>
      <c r="D989" s="32">
        <v>8</v>
      </c>
      <c r="E989" s="15">
        <f>INDEX(monster!$H$2:$H$617,MATCH(skill!C989,monster!$A$2:$A$617,0))</f>
        <v>109.44</v>
      </c>
      <c r="F989" s="15">
        <f>INDEX(monster!$I$2:$I$617,MATCH(C989,monster!$A$2:$A$617,0))</f>
        <v>3.28</v>
      </c>
      <c r="G989" s="15" t="b">
        <f t="shared" ref="G989:G1030" si="55">ISNUMBER(FIND("普攻",B989))</f>
        <v>1</v>
      </c>
      <c r="H989" s="31">
        <v>1</v>
      </c>
      <c r="I989" s="15">
        <f>IF(H989&gt;0,HLOOKUP(R989/100,数值规划表!$B$37:$AA$39,3),1)</f>
        <v>1.296</v>
      </c>
      <c r="J989" s="31" t="s">
        <v>1625</v>
      </c>
      <c r="K989" s="15">
        <f>INDEX(数值规划表!$B$15:$B$18,MATCH(J989,攻击范围,0))</f>
        <v>1</v>
      </c>
      <c r="L989" s="41">
        <v>0.8</v>
      </c>
      <c r="M989" s="41">
        <v>0</v>
      </c>
      <c r="N989" s="15">
        <f t="shared" si="53"/>
        <v>113</v>
      </c>
      <c r="O989" s="15">
        <f t="shared" si="54"/>
        <v>3.4</v>
      </c>
      <c r="P989" s="15">
        <f>IF(G989,INDEX(monster!$J$2:$J$606,MATCH(skill!C989,monster!$A$2:$A$606,0)),Q989)</f>
        <v>5</v>
      </c>
      <c r="Q989" s="70"/>
      <c r="R989" s="33">
        <v>120</v>
      </c>
    </row>
    <row r="990" spans="1:18" s="38" customFormat="1" x14ac:dyDescent="0.15">
      <c r="A990" s="32">
        <v>11034</v>
      </c>
      <c r="B990" s="32" t="s">
        <v>1281</v>
      </c>
      <c r="C990" s="31">
        <v>1548</v>
      </c>
      <c r="D990" s="32">
        <v>9</v>
      </c>
      <c r="E990" s="15">
        <f>INDEX(monster!$H$2:$H$617,MATCH(skill!C990,monster!$A$2:$A$617,0))</f>
        <v>122.57</v>
      </c>
      <c r="F990" s="15">
        <f>INDEX(monster!$I$2:$I$617,MATCH(C990,monster!$A$2:$A$617,0))</f>
        <v>3.68</v>
      </c>
      <c r="G990" s="15" t="b">
        <f t="shared" si="55"/>
        <v>1</v>
      </c>
      <c r="H990" s="31">
        <v>1</v>
      </c>
      <c r="I990" s="15">
        <f>IF(H990&gt;0,HLOOKUP(R990/100,数值规划表!$B$37:$AA$39,3),1)</f>
        <v>1.296</v>
      </c>
      <c r="J990" s="31" t="s">
        <v>1625</v>
      </c>
      <c r="K990" s="15">
        <f>INDEX(数值规划表!$B$15:$B$18,MATCH(J990,攻击范围,0))</f>
        <v>1</v>
      </c>
      <c r="L990" s="41">
        <v>0.8</v>
      </c>
      <c r="M990" s="41">
        <v>0</v>
      </c>
      <c r="N990" s="15">
        <f t="shared" si="53"/>
        <v>127</v>
      </c>
      <c r="O990" s="15">
        <f t="shared" si="54"/>
        <v>3.82</v>
      </c>
      <c r="P990" s="15">
        <f>IF(G990,INDEX(monster!$J$2:$J$606,MATCH(skill!C990,monster!$A$2:$A$606,0)),Q990)</f>
        <v>5</v>
      </c>
      <c r="Q990" s="70"/>
      <c r="R990" s="33">
        <v>120</v>
      </c>
    </row>
    <row r="991" spans="1:18" s="38" customFormat="1" x14ac:dyDescent="0.15">
      <c r="A991" s="32">
        <v>11035</v>
      </c>
      <c r="B991" s="32" t="s">
        <v>1282</v>
      </c>
      <c r="C991" s="31">
        <v>1549</v>
      </c>
      <c r="D991" s="32">
        <v>10</v>
      </c>
      <c r="E991" s="15">
        <f>INDEX(monster!$H$2:$H$617,MATCH(skill!C991,monster!$A$2:$A$617,0))</f>
        <v>137.28</v>
      </c>
      <c r="F991" s="15">
        <f>INDEX(monster!$I$2:$I$617,MATCH(C991,monster!$A$2:$A$617,0))</f>
        <v>4.12</v>
      </c>
      <c r="G991" s="15" t="b">
        <f t="shared" si="55"/>
        <v>1</v>
      </c>
      <c r="H991" s="31">
        <v>1</v>
      </c>
      <c r="I991" s="15">
        <f>IF(H991&gt;0,HLOOKUP(R991/100,数值规划表!$B$37:$AA$39,3),1)</f>
        <v>1.296</v>
      </c>
      <c r="J991" s="31" t="s">
        <v>1625</v>
      </c>
      <c r="K991" s="15">
        <f>INDEX(数值规划表!$B$15:$B$18,MATCH(J991,攻击范围,0))</f>
        <v>1</v>
      </c>
      <c r="L991" s="41">
        <v>0.8</v>
      </c>
      <c r="M991" s="41">
        <v>0</v>
      </c>
      <c r="N991" s="15">
        <f t="shared" si="53"/>
        <v>142</v>
      </c>
      <c r="O991" s="15">
        <f t="shared" si="54"/>
        <v>4.2699999999999996</v>
      </c>
      <c r="P991" s="15">
        <f>IF(G991,INDEX(monster!$J$2:$J$606,MATCH(skill!C991,monster!$A$2:$A$606,0)),Q991)</f>
        <v>5</v>
      </c>
      <c r="Q991" s="70"/>
      <c r="R991" s="33">
        <v>120</v>
      </c>
    </row>
    <row r="992" spans="1:18" x14ac:dyDescent="0.15">
      <c r="A992" s="32">
        <v>11036</v>
      </c>
      <c r="B992" s="32" t="s">
        <v>1730</v>
      </c>
      <c r="C992" s="31">
        <v>1539</v>
      </c>
      <c r="D992" s="32">
        <v>0</v>
      </c>
      <c r="E992" s="15">
        <f>INDEX(monster!$H$2:$H$617,MATCH(skill!C992,monster!$A$2:$A$617,0))</f>
        <v>44.2</v>
      </c>
      <c r="F992" s="15">
        <f>INDEX(monster!$I$2:$I$617,MATCH(C992,monster!$A$2:$A$617,0))</f>
        <v>1.33</v>
      </c>
      <c r="G992" s="15" t="b">
        <f t="shared" si="55"/>
        <v>1</v>
      </c>
      <c r="H992" s="31">
        <v>0</v>
      </c>
      <c r="I992" s="15">
        <f>IF(H992&gt;0,HLOOKUP(R992/100,数值规划表!$B$37:$AA$39,3),1)</f>
        <v>1</v>
      </c>
      <c r="J992" s="31" t="s">
        <v>1672</v>
      </c>
      <c r="K992" s="15">
        <f>INDEX(数值规划表!$B$15:$B$18,MATCH(J992,攻击范围,0))</f>
        <v>0</v>
      </c>
      <c r="L992" s="30">
        <v>1</v>
      </c>
      <c r="M992" s="41">
        <v>0</v>
      </c>
      <c r="N992" s="15">
        <f t="shared" si="53"/>
        <v>0</v>
      </c>
      <c r="O992" s="15">
        <f t="shared" si="54"/>
        <v>0</v>
      </c>
      <c r="P992" s="15">
        <f>IF(G992,INDEX(monster!$J$2:$J$606,MATCH(skill!C992,monster!$A$2:$A$606,0)),Q992)</f>
        <v>5</v>
      </c>
      <c r="R992" s="37">
        <v>300</v>
      </c>
    </row>
    <row r="993" spans="1:18" x14ac:dyDescent="0.15">
      <c r="A993" s="32">
        <v>11037</v>
      </c>
      <c r="B993" s="32" t="s">
        <v>1731</v>
      </c>
      <c r="C993" s="31">
        <v>1540</v>
      </c>
      <c r="D993" s="32">
        <v>1</v>
      </c>
      <c r="E993" s="15">
        <f>INDEX(monster!$H$2:$H$617,MATCH(skill!C993,monster!$A$2:$A$617,0))</f>
        <v>49.5</v>
      </c>
      <c r="F993" s="15">
        <f>INDEX(monster!$I$2:$I$617,MATCH(C993,monster!$A$2:$A$617,0))</f>
        <v>1.49</v>
      </c>
      <c r="G993" s="15" t="b">
        <f t="shared" si="55"/>
        <v>1</v>
      </c>
      <c r="H993" s="31">
        <v>0</v>
      </c>
      <c r="I993" s="15">
        <f>IF(H993&gt;0,HLOOKUP(R993/100,数值规划表!$B$37:$AA$39,3),1)</f>
        <v>1</v>
      </c>
      <c r="J993" s="31" t="s">
        <v>1672</v>
      </c>
      <c r="K993" s="15">
        <f>INDEX(数值规划表!$B$15:$B$18,MATCH(J993,攻击范围,0))</f>
        <v>0</v>
      </c>
      <c r="L993" s="30">
        <v>1</v>
      </c>
      <c r="M993" s="41">
        <v>0</v>
      </c>
      <c r="N993" s="15">
        <f t="shared" si="53"/>
        <v>0</v>
      </c>
      <c r="O993" s="15">
        <f t="shared" si="54"/>
        <v>0</v>
      </c>
      <c r="P993" s="15">
        <f>IF(G993,INDEX(monster!$J$2:$J$606,MATCH(skill!C993,monster!$A$2:$A$606,0)),Q993)</f>
        <v>5</v>
      </c>
      <c r="R993" s="37">
        <v>300</v>
      </c>
    </row>
    <row r="994" spans="1:18" x14ac:dyDescent="0.15">
      <c r="A994" s="32">
        <v>11038</v>
      </c>
      <c r="B994" s="32" t="s">
        <v>1732</v>
      </c>
      <c r="C994" s="31">
        <v>1541</v>
      </c>
      <c r="D994" s="32">
        <v>2</v>
      </c>
      <c r="E994" s="15">
        <f>INDEX(monster!$H$2:$H$617,MATCH(skill!C994,monster!$A$2:$A$617,0))</f>
        <v>55.44</v>
      </c>
      <c r="F994" s="15">
        <f>INDEX(monster!$I$2:$I$617,MATCH(C994,monster!$A$2:$A$617,0))</f>
        <v>1.66</v>
      </c>
      <c r="G994" s="15" t="b">
        <f t="shared" si="55"/>
        <v>1</v>
      </c>
      <c r="H994" s="31">
        <v>0</v>
      </c>
      <c r="I994" s="15">
        <f>IF(H994&gt;0,HLOOKUP(R994/100,数值规划表!$B$37:$AA$39,3),1)</f>
        <v>1</v>
      </c>
      <c r="J994" s="31" t="s">
        <v>1672</v>
      </c>
      <c r="K994" s="15">
        <f>INDEX(数值规划表!$B$15:$B$18,MATCH(J994,攻击范围,0))</f>
        <v>0</v>
      </c>
      <c r="L994" s="30">
        <v>1</v>
      </c>
      <c r="M994" s="41">
        <v>0</v>
      </c>
      <c r="N994" s="15">
        <f t="shared" si="53"/>
        <v>0</v>
      </c>
      <c r="O994" s="15">
        <f t="shared" si="54"/>
        <v>0</v>
      </c>
      <c r="P994" s="15">
        <f>IF(G994,INDEX(monster!$J$2:$J$606,MATCH(skill!C994,monster!$A$2:$A$606,0)),Q994)</f>
        <v>5</v>
      </c>
      <c r="R994" s="37">
        <v>300</v>
      </c>
    </row>
    <row r="995" spans="1:18" x14ac:dyDescent="0.15">
      <c r="A995" s="32">
        <v>11039</v>
      </c>
      <c r="B995" s="32" t="s">
        <v>1733</v>
      </c>
      <c r="C995" s="31">
        <v>1542</v>
      </c>
      <c r="D995" s="32">
        <v>3</v>
      </c>
      <c r="E995" s="15">
        <f>INDEX(monster!$H$2:$H$617,MATCH(skill!C995,monster!$A$2:$A$617,0))</f>
        <v>62.1</v>
      </c>
      <c r="F995" s="15">
        <f>INDEX(monster!$I$2:$I$617,MATCH(C995,monster!$A$2:$A$617,0))</f>
        <v>1.86</v>
      </c>
      <c r="G995" s="15" t="b">
        <f t="shared" si="55"/>
        <v>1</v>
      </c>
      <c r="H995" s="31">
        <v>0</v>
      </c>
      <c r="I995" s="15">
        <f>IF(H995&gt;0,HLOOKUP(R995/100,数值规划表!$B$37:$AA$39,3),1)</f>
        <v>1</v>
      </c>
      <c r="J995" s="31" t="s">
        <v>1672</v>
      </c>
      <c r="K995" s="15">
        <f>INDEX(数值规划表!$B$15:$B$18,MATCH(J995,攻击范围,0))</f>
        <v>0</v>
      </c>
      <c r="L995" s="30">
        <v>1</v>
      </c>
      <c r="M995" s="41">
        <v>0</v>
      </c>
      <c r="N995" s="15">
        <f t="shared" si="53"/>
        <v>0</v>
      </c>
      <c r="O995" s="15">
        <f t="shared" si="54"/>
        <v>0</v>
      </c>
      <c r="P995" s="15">
        <f>IF(G995,INDEX(monster!$J$2:$J$606,MATCH(skill!C995,monster!$A$2:$A$606,0)),Q995)</f>
        <v>5</v>
      </c>
      <c r="R995" s="37">
        <v>300</v>
      </c>
    </row>
    <row r="996" spans="1:18" x14ac:dyDescent="0.15">
      <c r="A996" s="32">
        <v>11040</v>
      </c>
      <c r="B996" s="32" t="s">
        <v>1734</v>
      </c>
      <c r="C996" s="31">
        <v>1543</v>
      </c>
      <c r="D996" s="32">
        <v>4</v>
      </c>
      <c r="E996" s="15">
        <f>INDEX(monster!$H$2:$H$617,MATCH(skill!C996,monster!$A$2:$A$617,0))</f>
        <v>69.55</v>
      </c>
      <c r="F996" s="15">
        <f>INDEX(monster!$I$2:$I$617,MATCH(C996,monster!$A$2:$A$617,0))</f>
        <v>2.09</v>
      </c>
      <c r="G996" s="15" t="b">
        <f t="shared" si="55"/>
        <v>1</v>
      </c>
      <c r="H996" s="31">
        <v>0</v>
      </c>
      <c r="I996" s="15">
        <f>IF(H996&gt;0,HLOOKUP(R996/100,数值规划表!$B$37:$AA$39,3),1)</f>
        <v>1</v>
      </c>
      <c r="J996" s="31" t="s">
        <v>1672</v>
      </c>
      <c r="K996" s="15">
        <f>INDEX(数值规划表!$B$15:$B$18,MATCH(J996,攻击范围,0))</f>
        <v>0</v>
      </c>
      <c r="L996" s="30">
        <v>1</v>
      </c>
      <c r="M996" s="41">
        <v>0</v>
      </c>
      <c r="N996" s="15">
        <f t="shared" si="53"/>
        <v>0</v>
      </c>
      <c r="O996" s="15">
        <f t="shared" si="54"/>
        <v>0</v>
      </c>
      <c r="P996" s="15">
        <f>IF(G996,INDEX(monster!$J$2:$J$606,MATCH(skill!C996,monster!$A$2:$A$606,0)),Q996)</f>
        <v>5</v>
      </c>
      <c r="R996" s="37">
        <v>300</v>
      </c>
    </row>
    <row r="997" spans="1:18" x14ac:dyDescent="0.15">
      <c r="A997" s="32">
        <v>11041</v>
      </c>
      <c r="B997" s="32" t="s">
        <v>1735</v>
      </c>
      <c r="C997" s="31">
        <v>1544</v>
      </c>
      <c r="D997" s="32">
        <v>5</v>
      </c>
      <c r="E997" s="15">
        <f>INDEX(monster!$H$2:$H$617,MATCH(skill!C997,monster!$A$2:$A$617,0))</f>
        <v>77.900000000000006</v>
      </c>
      <c r="F997" s="15">
        <f>INDEX(monster!$I$2:$I$617,MATCH(C997,monster!$A$2:$A$617,0))</f>
        <v>2.34</v>
      </c>
      <c r="G997" s="15" t="b">
        <f t="shared" si="55"/>
        <v>1</v>
      </c>
      <c r="H997" s="31">
        <v>0</v>
      </c>
      <c r="I997" s="15">
        <f>IF(H997&gt;0,HLOOKUP(R997/100,数值规划表!$B$37:$AA$39,3),1)</f>
        <v>1</v>
      </c>
      <c r="J997" s="31" t="s">
        <v>1672</v>
      </c>
      <c r="K997" s="15">
        <f>INDEX(数值规划表!$B$15:$B$18,MATCH(J997,攻击范围,0))</f>
        <v>0</v>
      </c>
      <c r="L997" s="30">
        <v>1</v>
      </c>
      <c r="M997" s="41">
        <v>0</v>
      </c>
      <c r="N997" s="15">
        <f t="shared" si="53"/>
        <v>0</v>
      </c>
      <c r="O997" s="15">
        <f t="shared" si="54"/>
        <v>0</v>
      </c>
      <c r="P997" s="15">
        <f>IF(G997,INDEX(monster!$J$2:$J$606,MATCH(skill!C997,monster!$A$2:$A$606,0)),Q997)</f>
        <v>5</v>
      </c>
      <c r="R997" s="37">
        <v>300</v>
      </c>
    </row>
    <row r="998" spans="1:18" x14ac:dyDescent="0.15">
      <c r="A998" s="32">
        <v>11042</v>
      </c>
      <c r="B998" s="32" t="s">
        <v>1736</v>
      </c>
      <c r="C998" s="31">
        <v>1545</v>
      </c>
      <c r="D998" s="32">
        <v>6</v>
      </c>
      <c r="E998" s="15">
        <f>INDEX(monster!$H$2:$H$617,MATCH(skill!C998,monster!$A$2:$A$617,0))</f>
        <v>87.24</v>
      </c>
      <c r="F998" s="15">
        <f>INDEX(monster!$I$2:$I$617,MATCH(C998,monster!$A$2:$A$617,0))</f>
        <v>2.62</v>
      </c>
      <c r="G998" s="15" t="b">
        <f t="shared" si="55"/>
        <v>1</v>
      </c>
      <c r="H998" s="31">
        <v>0</v>
      </c>
      <c r="I998" s="15">
        <f>IF(H998&gt;0,HLOOKUP(R998/100,数值规划表!$B$37:$AA$39,3),1)</f>
        <v>1</v>
      </c>
      <c r="J998" s="31" t="s">
        <v>1672</v>
      </c>
      <c r="K998" s="15">
        <f>INDEX(数值规划表!$B$15:$B$18,MATCH(J998,攻击范围,0))</f>
        <v>0</v>
      </c>
      <c r="L998" s="30">
        <v>1</v>
      </c>
      <c r="M998" s="41">
        <v>0</v>
      </c>
      <c r="N998" s="15">
        <f t="shared" si="53"/>
        <v>0</v>
      </c>
      <c r="O998" s="15">
        <f t="shared" si="54"/>
        <v>0</v>
      </c>
      <c r="P998" s="15">
        <f>IF(G998,INDEX(monster!$J$2:$J$606,MATCH(skill!C998,monster!$A$2:$A$606,0)),Q998)</f>
        <v>5</v>
      </c>
      <c r="R998" s="37">
        <v>300</v>
      </c>
    </row>
    <row r="999" spans="1:18" x14ac:dyDescent="0.15">
      <c r="A999" s="32">
        <v>11043</v>
      </c>
      <c r="B999" s="32" t="s">
        <v>1737</v>
      </c>
      <c r="C999" s="31">
        <v>1546</v>
      </c>
      <c r="D999" s="32">
        <v>7</v>
      </c>
      <c r="E999" s="15">
        <f>INDEX(monster!$H$2:$H$617,MATCH(skill!C999,monster!$A$2:$A$617,0))</f>
        <v>97.71</v>
      </c>
      <c r="F999" s="15">
        <f>INDEX(monster!$I$2:$I$617,MATCH(C999,monster!$A$2:$A$617,0))</f>
        <v>2.93</v>
      </c>
      <c r="G999" s="15" t="b">
        <f t="shared" si="55"/>
        <v>1</v>
      </c>
      <c r="H999" s="31">
        <v>0</v>
      </c>
      <c r="I999" s="15">
        <f>IF(H999&gt;0,HLOOKUP(R999/100,数值规划表!$B$37:$AA$39,3),1)</f>
        <v>1</v>
      </c>
      <c r="J999" s="31" t="s">
        <v>1672</v>
      </c>
      <c r="K999" s="15">
        <f>INDEX(数值规划表!$B$15:$B$18,MATCH(J999,攻击范围,0))</f>
        <v>0</v>
      </c>
      <c r="L999" s="30">
        <v>1</v>
      </c>
      <c r="M999" s="41">
        <v>0</v>
      </c>
      <c r="N999" s="15">
        <f t="shared" si="53"/>
        <v>0</v>
      </c>
      <c r="O999" s="15">
        <f t="shared" si="54"/>
        <v>0</v>
      </c>
      <c r="P999" s="15">
        <f>IF(G999,INDEX(monster!$J$2:$J$606,MATCH(skill!C999,monster!$A$2:$A$606,0)),Q999)</f>
        <v>5</v>
      </c>
      <c r="R999" s="37">
        <v>300</v>
      </c>
    </row>
    <row r="1000" spans="1:18" x14ac:dyDescent="0.15">
      <c r="A1000" s="32">
        <v>11044</v>
      </c>
      <c r="B1000" s="32" t="s">
        <v>1738</v>
      </c>
      <c r="C1000" s="31">
        <v>1547</v>
      </c>
      <c r="D1000" s="32">
        <v>8</v>
      </c>
      <c r="E1000" s="15">
        <f>INDEX(monster!$H$2:$H$617,MATCH(skill!C1000,monster!$A$2:$A$617,0))</f>
        <v>109.44</v>
      </c>
      <c r="F1000" s="15">
        <f>INDEX(monster!$I$2:$I$617,MATCH(C1000,monster!$A$2:$A$617,0))</f>
        <v>3.28</v>
      </c>
      <c r="G1000" s="15" t="b">
        <f t="shared" si="55"/>
        <v>1</v>
      </c>
      <c r="H1000" s="31">
        <v>0</v>
      </c>
      <c r="I1000" s="15">
        <f>IF(H1000&gt;0,HLOOKUP(R1000/100,数值规划表!$B$37:$AA$39,3),1)</f>
        <v>1</v>
      </c>
      <c r="J1000" s="31" t="s">
        <v>1672</v>
      </c>
      <c r="K1000" s="15">
        <f>INDEX(数值规划表!$B$15:$B$18,MATCH(J1000,攻击范围,0))</f>
        <v>0</v>
      </c>
      <c r="L1000" s="30">
        <v>1</v>
      </c>
      <c r="M1000" s="41">
        <v>0</v>
      </c>
      <c r="N1000" s="15">
        <f t="shared" si="53"/>
        <v>0</v>
      </c>
      <c r="O1000" s="15">
        <f t="shared" si="54"/>
        <v>0</v>
      </c>
      <c r="P1000" s="15">
        <f>IF(G1000,INDEX(monster!$J$2:$J$606,MATCH(skill!C1000,monster!$A$2:$A$606,0)),Q1000)</f>
        <v>5</v>
      </c>
      <c r="R1000" s="37">
        <v>300</v>
      </c>
    </row>
    <row r="1001" spans="1:18" x14ac:dyDescent="0.15">
      <c r="A1001" s="32">
        <v>11045</v>
      </c>
      <c r="B1001" s="32" t="s">
        <v>1739</v>
      </c>
      <c r="C1001" s="31">
        <v>1548</v>
      </c>
      <c r="D1001" s="32">
        <v>9</v>
      </c>
      <c r="E1001" s="15">
        <f>INDEX(monster!$H$2:$H$617,MATCH(skill!C1001,monster!$A$2:$A$617,0))</f>
        <v>122.57</v>
      </c>
      <c r="F1001" s="15">
        <f>INDEX(monster!$I$2:$I$617,MATCH(C1001,monster!$A$2:$A$617,0))</f>
        <v>3.68</v>
      </c>
      <c r="G1001" s="15" t="b">
        <f t="shared" si="55"/>
        <v>1</v>
      </c>
      <c r="H1001" s="31">
        <v>0</v>
      </c>
      <c r="I1001" s="15">
        <f>IF(H1001&gt;0,HLOOKUP(R1001/100,数值规划表!$B$37:$AA$39,3),1)</f>
        <v>1</v>
      </c>
      <c r="J1001" s="31" t="s">
        <v>1672</v>
      </c>
      <c r="K1001" s="15">
        <f>INDEX(数值规划表!$B$15:$B$18,MATCH(J1001,攻击范围,0))</f>
        <v>0</v>
      </c>
      <c r="L1001" s="30">
        <v>1</v>
      </c>
      <c r="M1001" s="41">
        <v>0</v>
      </c>
      <c r="N1001" s="15">
        <f t="shared" si="53"/>
        <v>0</v>
      </c>
      <c r="O1001" s="15">
        <f t="shared" si="54"/>
        <v>0</v>
      </c>
      <c r="P1001" s="15">
        <f>IF(G1001,INDEX(monster!$J$2:$J$606,MATCH(skill!C1001,monster!$A$2:$A$606,0)),Q1001)</f>
        <v>5</v>
      </c>
      <c r="R1001" s="37">
        <v>300</v>
      </c>
    </row>
    <row r="1002" spans="1:18" x14ac:dyDescent="0.15">
      <c r="A1002" s="32">
        <v>11046</v>
      </c>
      <c r="B1002" s="32" t="s">
        <v>1740</v>
      </c>
      <c r="C1002" s="31">
        <v>1549</v>
      </c>
      <c r="D1002" s="32">
        <v>10</v>
      </c>
      <c r="E1002" s="15">
        <f>INDEX(monster!$H$2:$H$617,MATCH(skill!C1002,monster!$A$2:$A$617,0))</f>
        <v>137.28</v>
      </c>
      <c r="F1002" s="15">
        <f>INDEX(monster!$I$2:$I$617,MATCH(C1002,monster!$A$2:$A$617,0))</f>
        <v>4.12</v>
      </c>
      <c r="G1002" s="15" t="b">
        <f t="shared" si="55"/>
        <v>1</v>
      </c>
      <c r="H1002" s="31">
        <v>0</v>
      </c>
      <c r="I1002" s="15">
        <f>IF(H1002&gt;0,HLOOKUP(R1002/100,数值规划表!$B$37:$AA$39,3),1)</f>
        <v>1</v>
      </c>
      <c r="J1002" s="31" t="s">
        <v>1672</v>
      </c>
      <c r="K1002" s="15">
        <f>INDEX(数值规划表!$B$15:$B$18,MATCH(J1002,攻击范围,0))</f>
        <v>0</v>
      </c>
      <c r="L1002" s="30">
        <v>1</v>
      </c>
      <c r="M1002" s="41">
        <v>0</v>
      </c>
      <c r="N1002" s="15">
        <f t="shared" si="53"/>
        <v>0</v>
      </c>
      <c r="O1002" s="15">
        <f t="shared" si="54"/>
        <v>0</v>
      </c>
      <c r="P1002" s="15">
        <f>IF(G1002,INDEX(monster!$J$2:$J$606,MATCH(skill!C1002,monster!$A$2:$A$606,0)),Q1002)</f>
        <v>5</v>
      </c>
      <c r="R1002" s="37">
        <v>300</v>
      </c>
    </row>
    <row r="1003" spans="1:18" s="38" customFormat="1" x14ac:dyDescent="0.15">
      <c r="A1003" s="32">
        <v>11047</v>
      </c>
      <c r="B1003" s="32" t="s">
        <v>1589</v>
      </c>
      <c r="C1003" s="31">
        <v>1550</v>
      </c>
      <c r="D1003" s="32">
        <v>0</v>
      </c>
      <c r="E1003" s="15">
        <f>INDEX(monster!$H$2:$H$617,MATCH(skill!C1003,monster!$A$2:$A$617,0))</f>
        <v>57.78</v>
      </c>
      <c r="F1003" s="15">
        <f>INDEX(monster!$I$2:$I$617,MATCH(C1003,monster!$A$2:$A$617,0))</f>
        <v>1.73</v>
      </c>
      <c r="G1003" s="15" t="b">
        <f t="shared" si="55"/>
        <v>1</v>
      </c>
      <c r="H1003" s="31">
        <v>1</v>
      </c>
      <c r="I1003" s="15">
        <f>IF(H1003&gt;0,HLOOKUP(R1003/100,数值规划表!$B$37:$AA$39,3),1)</f>
        <v>1.296</v>
      </c>
      <c r="J1003" s="31" t="s">
        <v>1625</v>
      </c>
      <c r="K1003" s="15">
        <f>INDEX(数值规划表!$B$15:$B$18,MATCH(J1003,攻击范围,0))</f>
        <v>1</v>
      </c>
      <c r="L1003" s="30">
        <v>0.5</v>
      </c>
      <c r="M1003" s="41">
        <v>0</v>
      </c>
      <c r="N1003" s="15">
        <f t="shared" si="53"/>
        <v>37</v>
      </c>
      <c r="O1003" s="15">
        <f t="shared" si="54"/>
        <v>1.1200000000000001</v>
      </c>
      <c r="P1003" s="15">
        <f>IF(G1003,INDEX(monster!$J$2:$J$606,MATCH(skill!C1003,monster!$A$2:$A$606,0)),Q1003)</f>
        <v>4.5</v>
      </c>
      <c r="Q1003" s="70"/>
      <c r="R1003" s="33">
        <v>120</v>
      </c>
    </row>
    <row r="1004" spans="1:18" s="38" customFormat="1" x14ac:dyDescent="0.15">
      <c r="A1004" s="32">
        <v>11048</v>
      </c>
      <c r="B1004" s="32" t="s">
        <v>1590</v>
      </c>
      <c r="C1004" s="31">
        <v>1551</v>
      </c>
      <c r="D1004" s="32">
        <v>1</v>
      </c>
      <c r="E1004" s="15">
        <f>INDEX(monster!$H$2:$H$617,MATCH(skill!C1004,monster!$A$2:$A$617,0))</f>
        <v>64.709999999999994</v>
      </c>
      <c r="F1004" s="15">
        <f>INDEX(monster!$I$2:$I$617,MATCH(C1004,monster!$A$2:$A$617,0))</f>
        <v>1.94</v>
      </c>
      <c r="G1004" s="15" t="b">
        <f t="shared" si="55"/>
        <v>1</v>
      </c>
      <c r="H1004" s="31">
        <v>1</v>
      </c>
      <c r="I1004" s="15">
        <f>IF(H1004&gt;0,HLOOKUP(R1004/100,数值规划表!$B$37:$AA$39,3),1)</f>
        <v>1.296</v>
      </c>
      <c r="J1004" s="31" t="s">
        <v>1625</v>
      </c>
      <c r="K1004" s="15">
        <f>INDEX(数值规划表!$B$15:$B$18,MATCH(J1004,攻击范围,0))</f>
        <v>1</v>
      </c>
      <c r="L1004" s="70">
        <v>0.5</v>
      </c>
      <c r="M1004" s="41">
        <v>0</v>
      </c>
      <c r="N1004" s="15">
        <f t="shared" si="53"/>
        <v>42</v>
      </c>
      <c r="O1004" s="15">
        <f t="shared" si="54"/>
        <v>1.26</v>
      </c>
      <c r="P1004" s="15">
        <f>IF(G1004,INDEX(monster!$J$2:$J$606,MATCH(skill!C1004,monster!$A$2:$A$606,0)),Q1004)</f>
        <v>4.5</v>
      </c>
      <c r="Q1004" s="70"/>
      <c r="R1004" s="33">
        <v>120</v>
      </c>
    </row>
    <row r="1005" spans="1:18" s="38" customFormat="1" x14ac:dyDescent="0.15">
      <c r="A1005" s="32">
        <v>11049</v>
      </c>
      <c r="B1005" s="32" t="s">
        <v>1283</v>
      </c>
      <c r="C1005" s="31">
        <v>1560</v>
      </c>
      <c r="D1005" s="32">
        <v>2</v>
      </c>
      <c r="E1005" s="15">
        <f>INDEX(monster!$H$2:$H$617,MATCH(skill!C1005,monster!$A$2:$A$617,0))</f>
        <v>179.46</v>
      </c>
      <c r="F1005" s="15">
        <f>INDEX(monster!$I$2:$I$617,MATCH(C1005,monster!$A$2:$A$617,0))</f>
        <v>5.38</v>
      </c>
      <c r="G1005" s="15" t="b">
        <f t="shared" si="55"/>
        <v>1</v>
      </c>
      <c r="H1005" s="31">
        <v>1</v>
      </c>
      <c r="I1005" s="15">
        <f>IF(H1005&gt;0,HLOOKUP(R1005/100,数值规划表!$B$37:$AA$39,3),1)</f>
        <v>1.296</v>
      </c>
      <c r="J1005" s="31" t="s">
        <v>1625</v>
      </c>
      <c r="K1005" s="15">
        <f>INDEX(数值规划表!$B$15:$B$18,MATCH(J1005,攻击范围,0))</f>
        <v>1</v>
      </c>
      <c r="L1005" s="70">
        <v>0.5</v>
      </c>
      <c r="M1005" s="41">
        <v>0</v>
      </c>
      <c r="N1005" s="15">
        <f t="shared" si="53"/>
        <v>116</v>
      </c>
      <c r="O1005" s="15">
        <f t="shared" si="54"/>
        <v>3.49</v>
      </c>
      <c r="P1005" s="15">
        <f>IF(G1005,INDEX(monster!$J$2:$J$606,MATCH(skill!C1005,monster!$A$2:$A$606,0)),Q1005)</f>
        <v>4.5</v>
      </c>
      <c r="Q1005" s="70"/>
      <c r="R1005" s="33">
        <v>120</v>
      </c>
    </row>
    <row r="1006" spans="1:18" s="38" customFormat="1" x14ac:dyDescent="0.15">
      <c r="A1006" s="32">
        <v>11050</v>
      </c>
      <c r="B1006" s="32" t="s">
        <v>1284</v>
      </c>
      <c r="C1006" s="31">
        <v>1552</v>
      </c>
      <c r="D1006" s="32">
        <v>3</v>
      </c>
      <c r="E1006" s="15">
        <f>INDEX(monster!$H$2:$H$617,MATCH(skill!C1006,monster!$A$2:$A$617,0))</f>
        <v>72.48</v>
      </c>
      <c r="F1006" s="15">
        <f>INDEX(monster!$I$2:$I$617,MATCH(C1006,monster!$A$2:$A$617,0))</f>
        <v>2.17</v>
      </c>
      <c r="G1006" s="15" t="b">
        <f t="shared" si="55"/>
        <v>1</v>
      </c>
      <c r="H1006" s="31">
        <v>1</v>
      </c>
      <c r="I1006" s="15">
        <f>IF(H1006&gt;0,HLOOKUP(R1006/100,数值规划表!$B$37:$AA$39,3),1)</f>
        <v>1.296</v>
      </c>
      <c r="J1006" s="31" t="s">
        <v>1625</v>
      </c>
      <c r="K1006" s="15">
        <f>INDEX(数值规划表!$B$15:$B$18,MATCH(J1006,攻击范围,0))</f>
        <v>1</v>
      </c>
      <c r="L1006" s="70">
        <v>0.5</v>
      </c>
      <c r="M1006" s="41">
        <v>0</v>
      </c>
      <c r="N1006" s="15">
        <f t="shared" si="53"/>
        <v>47</v>
      </c>
      <c r="O1006" s="15">
        <f t="shared" si="54"/>
        <v>1.41</v>
      </c>
      <c r="P1006" s="15">
        <f>IF(G1006,INDEX(monster!$J$2:$J$606,MATCH(skill!C1006,monster!$A$2:$A$606,0)),Q1006)</f>
        <v>4.5</v>
      </c>
      <c r="Q1006" s="70"/>
      <c r="R1006" s="33">
        <v>120</v>
      </c>
    </row>
    <row r="1007" spans="1:18" s="38" customFormat="1" x14ac:dyDescent="0.15">
      <c r="A1007" s="32">
        <v>11051</v>
      </c>
      <c r="B1007" s="32" t="s">
        <v>1285</v>
      </c>
      <c r="C1007" s="31">
        <v>1553</v>
      </c>
      <c r="D1007" s="32">
        <v>4</v>
      </c>
      <c r="E1007" s="15">
        <f>INDEX(monster!$H$2:$H$617,MATCH(skill!C1007,monster!$A$2:$A$617,0))</f>
        <v>81.180000000000007</v>
      </c>
      <c r="F1007" s="15">
        <f>INDEX(monster!$I$2:$I$617,MATCH(C1007,monster!$A$2:$A$617,0))</f>
        <v>2.44</v>
      </c>
      <c r="G1007" s="15" t="b">
        <f t="shared" si="55"/>
        <v>1</v>
      </c>
      <c r="H1007" s="31">
        <v>1</v>
      </c>
      <c r="I1007" s="15">
        <f>IF(H1007&gt;0,HLOOKUP(R1007/100,数值规划表!$B$37:$AA$39,3),1)</f>
        <v>1.296</v>
      </c>
      <c r="J1007" s="31" t="s">
        <v>1625</v>
      </c>
      <c r="K1007" s="15">
        <f>INDEX(数值规划表!$B$15:$B$18,MATCH(J1007,攻击范围,0))</f>
        <v>1</v>
      </c>
      <c r="L1007" s="70">
        <v>0.5</v>
      </c>
      <c r="M1007" s="41">
        <v>0</v>
      </c>
      <c r="N1007" s="15">
        <f t="shared" si="53"/>
        <v>53</v>
      </c>
      <c r="O1007" s="15">
        <f t="shared" si="54"/>
        <v>1.58</v>
      </c>
      <c r="P1007" s="15">
        <f>IF(G1007,INDEX(monster!$J$2:$J$606,MATCH(skill!C1007,monster!$A$2:$A$606,0)),Q1007)</f>
        <v>4.5</v>
      </c>
      <c r="Q1007" s="70"/>
      <c r="R1007" s="33">
        <v>120</v>
      </c>
    </row>
    <row r="1008" spans="1:18" s="38" customFormat="1" x14ac:dyDescent="0.15">
      <c r="A1008" s="32">
        <v>11052</v>
      </c>
      <c r="B1008" s="32" t="s">
        <v>1286</v>
      </c>
      <c r="C1008" s="31">
        <v>1554</v>
      </c>
      <c r="D1008" s="32">
        <v>5</v>
      </c>
      <c r="E1008" s="15">
        <f>INDEX(monster!$H$2:$H$617,MATCH(skill!C1008,monster!$A$2:$A$617,0))</f>
        <v>90.92</v>
      </c>
      <c r="F1008" s="15">
        <f>INDEX(monster!$I$2:$I$617,MATCH(C1008,monster!$A$2:$A$617,0))</f>
        <v>2.73</v>
      </c>
      <c r="G1008" s="15" t="b">
        <f t="shared" si="55"/>
        <v>1</v>
      </c>
      <c r="H1008" s="31">
        <v>1</v>
      </c>
      <c r="I1008" s="15">
        <f>IF(H1008&gt;0,HLOOKUP(R1008/100,数值规划表!$B$37:$AA$39,3),1)</f>
        <v>1.296</v>
      </c>
      <c r="J1008" s="31" t="s">
        <v>1625</v>
      </c>
      <c r="K1008" s="15">
        <f>INDEX(数值规划表!$B$15:$B$18,MATCH(J1008,攻击范围,0))</f>
        <v>1</v>
      </c>
      <c r="L1008" s="70">
        <v>0.5</v>
      </c>
      <c r="M1008" s="41">
        <v>0</v>
      </c>
      <c r="N1008" s="15">
        <f t="shared" si="53"/>
        <v>59</v>
      </c>
      <c r="O1008" s="15">
        <f t="shared" si="54"/>
        <v>1.77</v>
      </c>
      <c r="P1008" s="15">
        <f>IF(G1008,INDEX(monster!$J$2:$J$606,MATCH(skill!C1008,monster!$A$2:$A$606,0)),Q1008)</f>
        <v>4.5</v>
      </c>
      <c r="Q1008" s="70"/>
      <c r="R1008" s="33">
        <v>120</v>
      </c>
    </row>
    <row r="1009" spans="1:18" s="38" customFormat="1" x14ac:dyDescent="0.15">
      <c r="A1009" s="32">
        <v>11053</v>
      </c>
      <c r="B1009" s="32" t="s">
        <v>1287</v>
      </c>
      <c r="C1009" s="31">
        <v>1555</v>
      </c>
      <c r="D1009" s="32">
        <v>6</v>
      </c>
      <c r="E1009" s="15">
        <f>INDEX(monster!$H$2:$H$617,MATCH(skill!C1009,monster!$A$2:$A$617,0))</f>
        <v>101.83</v>
      </c>
      <c r="F1009" s="15">
        <f>INDEX(monster!$I$2:$I$617,MATCH(C1009,monster!$A$2:$A$617,0))</f>
        <v>3.05</v>
      </c>
      <c r="G1009" s="15" t="b">
        <f t="shared" si="55"/>
        <v>1</v>
      </c>
      <c r="H1009" s="31">
        <v>1</v>
      </c>
      <c r="I1009" s="15">
        <f>IF(H1009&gt;0,HLOOKUP(R1009/100,数值规划表!$B$37:$AA$39,3),1)</f>
        <v>1.296</v>
      </c>
      <c r="J1009" s="31" t="s">
        <v>1625</v>
      </c>
      <c r="K1009" s="15">
        <f>INDEX(数值规划表!$B$15:$B$18,MATCH(J1009,攻击范围,0))</f>
        <v>1</v>
      </c>
      <c r="L1009" s="70">
        <v>0.5</v>
      </c>
      <c r="M1009" s="41">
        <v>0</v>
      </c>
      <c r="N1009" s="15">
        <f t="shared" si="53"/>
        <v>66</v>
      </c>
      <c r="O1009" s="15">
        <f t="shared" si="54"/>
        <v>1.98</v>
      </c>
      <c r="P1009" s="15">
        <f>IF(G1009,INDEX(monster!$J$2:$J$606,MATCH(skill!C1009,monster!$A$2:$A$606,0)),Q1009)</f>
        <v>4.5</v>
      </c>
      <c r="Q1009" s="70"/>
      <c r="R1009" s="33">
        <v>120</v>
      </c>
    </row>
    <row r="1010" spans="1:18" s="38" customFormat="1" x14ac:dyDescent="0.15">
      <c r="A1010" s="32">
        <v>11054</v>
      </c>
      <c r="B1010" s="32" t="s">
        <v>1288</v>
      </c>
      <c r="C1010" s="31">
        <v>1556</v>
      </c>
      <c r="D1010" s="32">
        <v>7</v>
      </c>
      <c r="E1010" s="15">
        <f>INDEX(monster!$H$2:$H$617,MATCH(skill!C1010,monster!$A$2:$A$617,0))</f>
        <v>114.05</v>
      </c>
      <c r="F1010" s="15">
        <f>INDEX(monster!$I$2:$I$617,MATCH(C1010,monster!$A$2:$A$617,0))</f>
        <v>3.42</v>
      </c>
      <c r="G1010" s="15" t="b">
        <f t="shared" si="55"/>
        <v>1</v>
      </c>
      <c r="H1010" s="31">
        <v>1</v>
      </c>
      <c r="I1010" s="15">
        <f>IF(H1010&gt;0,HLOOKUP(R1010/100,数值规划表!$B$37:$AA$39,3),1)</f>
        <v>1.296</v>
      </c>
      <c r="J1010" s="31" t="s">
        <v>1625</v>
      </c>
      <c r="K1010" s="15">
        <f>INDEX(数值规划表!$B$15:$B$18,MATCH(J1010,攻击范围,0))</f>
        <v>1</v>
      </c>
      <c r="L1010" s="70">
        <v>0.5</v>
      </c>
      <c r="M1010" s="41">
        <v>0</v>
      </c>
      <c r="N1010" s="15">
        <f t="shared" si="53"/>
        <v>74</v>
      </c>
      <c r="O1010" s="15">
        <f t="shared" si="54"/>
        <v>2.2200000000000002</v>
      </c>
      <c r="P1010" s="15">
        <f>IF(G1010,INDEX(monster!$J$2:$J$606,MATCH(skill!C1010,monster!$A$2:$A$606,0)),Q1010)</f>
        <v>4.5</v>
      </c>
      <c r="Q1010" s="70"/>
      <c r="R1010" s="33">
        <v>120</v>
      </c>
    </row>
    <row r="1011" spans="1:18" s="38" customFormat="1" x14ac:dyDescent="0.15">
      <c r="A1011" s="32">
        <v>11055</v>
      </c>
      <c r="B1011" s="32" t="s">
        <v>1289</v>
      </c>
      <c r="C1011" s="31">
        <v>1557</v>
      </c>
      <c r="D1011" s="32">
        <v>8</v>
      </c>
      <c r="E1011" s="15">
        <f>INDEX(monster!$H$2:$H$617,MATCH(skill!C1011,monster!$A$2:$A$617,0))</f>
        <v>127.73</v>
      </c>
      <c r="F1011" s="15">
        <f>INDEX(monster!$I$2:$I$617,MATCH(C1011,monster!$A$2:$A$617,0))</f>
        <v>3.83</v>
      </c>
      <c r="G1011" s="15" t="b">
        <f t="shared" si="55"/>
        <v>1</v>
      </c>
      <c r="H1011" s="31">
        <v>1</v>
      </c>
      <c r="I1011" s="15">
        <f>IF(H1011&gt;0,HLOOKUP(R1011/100,数值规划表!$B$37:$AA$39,3),1)</f>
        <v>1.296</v>
      </c>
      <c r="J1011" s="31" t="s">
        <v>1625</v>
      </c>
      <c r="K1011" s="15">
        <f>INDEX(数值规划表!$B$15:$B$18,MATCH(J1011,攻击范围,0))</f>
        <v>1</v>
      </c>
      <c r="L1011" s="70">
        <v>0.5</v>
      </c>
      <c r="M1011" s="41">
        <v>0</v>
      </c>
      <c r="N1011" s="15">
        <f t="shared" si="53"/>
        <v>83</v>
      </c>
      <c r="O1011" s="15">
        <f t="shared" si="54"/>
        <v>2.48</v>
      </c>
      <c r="P1011" s="15">
        <f>IF(G1011,INDEX(monster!$J$2:$J$606,MATCH(skill!C1011,monster!$A$2:$A$606,0)),Q1011)</f>
        <v>4.5</v>
      </c>
      <c r="Q1011" s="70"/>
      <c r="R1011" s="33">
        <v>120</v>
      </c>
    </row>
    <row r="1012" spans="1:18" s="38" customFormat="1" x14ac:dyDescent="0.15">
      <c r="A1012" s="32">
        <v>11056</v>
      </c>
      <c r="B1012" s="32" t="s">
        <v>1290</v>
      </c>
      <c r="C1012" s="31">
        <v>1558</v>
      </c>
      <c r="D1012" s="32">
        <v>9</v>
      </c>
      <c r="E1012" s="15">
        <f>INDEX(monster!$H$2:$H$617,MATCH(skill!C1012,monster!$A$2:$A$617,0))</f>
        <v>143.06</v>
      </c>
      <c r="F1012" s="15">
        <f>INDEX(monster!$I$2:$I$617,MATCH(C1012,monster!$A$2:$A$617,0))</f>
        <v>4.29</v>
      </c>
      <c r="G1012" s="15" t="b">
        <f t="shared" si="55"/>
        <v>1</v>
      </c>
      <c r="H1012" s="31">
        <v>1</v>
      </c>
      <c r="I1012" s="15">
        <f>IF(H1012&gt;0,HLOOKUP(R1012/100,数值规划表!$B$37:$AA$39,3),1)</f>
        <v>1.296</v>
      </c>
      <c r="J1012" s="31" t="s">
        <v>1625</v>
      </c>
      <c r="K1012" s="15">
        <f>INDEX(数值规划表!$B$15:$B$18,MATCH(J1012,攻击范围,0))</f>
        <v>1</v>
      </c>
      <c r="L1012" s="70">
        <v>0.5</v>
      </c>
      <c r="M1012" s="41">
        <v>0</v>
      </c>
      <c r="N1012" s="15">
        <f t="shared" si="53"/>
        <v>93</v>
      </c>
      <c r="O1012" s="15">
        <f t="shared" si="54"/>
        <v>2.78</v>
      </c>
      <c r="P1012" s="15">
        <f>IF(G1012,INDEX(monster!$J$2:$J$606,MATCH(skill!C1012,monster!$A$2:$A$606,0)),Q1012)</f>
        <v>4.5</v>
      </c>
      <c r="Q1012" s="70"/>
      <c r="R1012" s="33">
        <v>120</v>
      </c>
    </row>
    <row r="1013" spans="1:18" s="38" customFormat="1" x14ac:dyDescent="0.15">
      <c r="A1013" s="32">
        <v>11057</v>
      </c>
      <c r="B1013" s="32" t="s">
        <v>1291</v>
      </c>
      <c r="C1013" s="31">
        <v>1559</v>
      </c>
      <c r="D1013" s="32">
        <v>10</v>
      </c>
      <c r="E1013" s="15">
        <f>INDEX(monster!$H$2:$H$617,MATCH(skill!C1013,monster!$A$2:$A$617,0))</f>
        <v>160.22999999999999</v>
      </c>
      <c r="F1013" s="15">
        <f>INDEX(monster!$I$2:$I$617,MATCH(C1013,monster!$A$2:$A$617,0))</f>
        <v>4.8099999999999996</v>
      </c>
      <c r="G1013" s="15" t="b">
        <f t="shared" si="55"/>
        <v>1</v>
      </c>
      <c r="H1013" s="31">
        <v>1</v>
      </c>
      <c r="I1013" s="15">
        <f>IF(H1013&gt;0,HLOOKUP(R1013/100,数值规划表!$B$37:$AA$39,3),1)</f>
        <v>1.296</v>
      </c>
      <c r="J1013" s="31" t="s">
        <v>1625</v>
      </c>
      <c r="K1013" s="15">
        <f>INDEX(数值规划表!$B$15:$B$18,MATCH(J1013,攻击范围,0))</f>
        <v>1</v>
      </c>
      <c r="L1013" s="70">
        <v>0.5</v>
      </c>
      <c r="M1013" s="41">
        <v>0</v>
      </c>
      <c r="N1013" s="15">
        <f t="shared" si="53"/>
        <v>104</v>
      </c>
      <c r="O1013" s="15">
        <f t="shared" si="54"/>
        <v>3.12</v>
      </c>
      <c r="P1013" s="15">
        <f>IF(G1013,INDEX(monster!$J$2:$J$606,MATCH(skill!C1013,monster!$A$2:$A$606,0)),Q1013)</f>
        <v>4.5</v>
      </c>
      <c r="Q1013" s="70"/>
      <c r="R1013" s="33">
        <v>120</v>
      </c>
    </row>
    <row r="1014" spans="1:18" s="38" customFormat="1" x14ac:dyDescent="0.15">
      <c r="A1014" s="32">
        <v>11080</v>
      </c>
      <c r="B1014" s="32" t="s">
        <v>1292</v>
      </c>
      <c r="C1014" s="31">
        <v>1561</v>
      </c>
      <c r="D1014" s="32">
        <v>0</v>
      </c>
      <c r="E1014" s="15">
        <f>INDEX(monster!$H$2:$H$617,MATCH(skill!C1014,monster!$A$2:$A$617,0))</f>
        <v>48.17</v>
      </c>
      <c r="F1014" s="15">
        <f>INDEX(monster!$I$2:$I$617,MATCH(C1014,monster!$A$2:$A$617,0))</f>
        <v>1.45</v>
      </c>
      <c r="G1014" s="15" t="b">
        <f t="shared" si="55"/>
        <v>1</v>
      </c>
      <c r="H1014" s="31">
        <v>1</v>
      </c>
      <c r="I1014" s="15">
        <f>IF(H1014&gt;0,HLOOKUP(R1014/100,数值规划表!$B$37:$AA$39,3),1)</f>
        <v>2.3760000000000003</v>
      </c>
      <c r="J1014" s="31" t="s">
        <v>1625</v>
      </c>
      <c r="K1014" s="15">
        <f>INDEX(数值规划表!$B$15:$B$18,MATCH(J1014,攻击范围,0))</f>
        <v>1</v>
      </c>
      <c r="L1014" s="41">
        <v>1</v>
      </c>
      <c r="M1014" s="41">
        <v>0</v>
      </c>
      <c r="N1014" s="15">
        <f t="shared" si="53"/>
        <v>114</v>
      </c>
      <c r="O1014" s="15">
        <f t="shared" si="54"/>
        <v>3.45</v>
      </c>
      <c r="P1014" s="15">
        <f>IF(G1014,INDEX(monster!$J$2:$J$606,MATCH(skill!C1014,monster!$A$2:$A$606,0)),Q1014)</f>
        <v>9</v>
      </c>
      <c r="Q1014" s="70"/>
      <c r="R1014" s="33">
        <v>180</v>
      </c>
    </row>
    <row r="1015" spans="1:18" s="38" customFormat="1" x14ac:dyDescent="0.15">
      <c r="A1015" s="32">
        <v>11081</v>
      </c>
      <c r="B1015" s="32" t="s">
        <v>1293</v>
      </c>
      <c r="C1015" s="31">
        <v>1562</v>
      </c>
      <c r="D1015" s="32">
        <v>1</v>
      </c>
      <c r="E1015" s="15">
        <f>INDEX(monster!$H$2:$H$617,MATCH(skill!C1015,monster!$A$2:$A$617,0))</f>
        <v>53.95</v>
      </c>
      <c r="F1015" s="15">
        <f>INDEX(monster!$I$2:$I$617,MATCH(C1015,monster!$A$2:$A$617,0))</f>
        <v>1.62</v>
      </c>
      <c r="G1015" s="15" t="b">
        <f t="shared" si="55"/>
        <v>1</v>
      </c>
      <c r="H1015" s="31">
        <v>1</v>
      </c>
      <c r="I1015" s="15">
        <f>IF(H1015&gt;0,HLOOKUP(R1015/100,数值规划表!$B$37:$AA$39,3),1)</f>
        <v>2.3760000000000003</v>
      </c>
      <c r="J1015" s="31" t="s">
        <v>1625</v>
      </c>
      <c r="K1015" s="15">
        <f>INDEX(数值规划表!$B$15:$B$18,MATCH(J1015,攻击范围,0))</f>
        <v>1</v>
      </c>
      <c r="L1015" s="41">
        <v>1</v>
      </c>
      <c r="M1015" s="41">
        <v>0</v>
      </c>
      <c r="N1015" s="15">
        <f t="shared" ref="N1015:N1078" si="56">ROUND(E1015*I1015*K1015*L1015,0)</f>
        <v>128</v>
      </c>
      <c r="O1015" s="15">
        <f t="shared" ref="O1015:O1078" si="57">ROUND(F1015*I1015*K1015*L1015,2)</f>
        <v>3.85</v>
      </c>
      <c r="P1015" s="15">
        <f>IF(G1015,INDEX(monster!$J$2:$J$606,MATCH(skill!C1015,monster!$A$2:$A$606,0)),Q1015)</f>
        <v>9</v>
      </c>
      <c r="Q1015" s="70"/>
      <c r="R1015" s="33">
        <v>180</v>
      </c>
    </row>
    <row r="1016" spans="1:18" s="38" customFormat="1" x14ac:dyDescent="0.15">
      <c r="A1016" s="32">
        <v>11082</v>
      </c>
      <c r="B1016" s="32" t="s">
        <v>1294</v>
      </c>
      <c r="C1016" s="31">
        <v>1563</v>
      </c>
      <c r="D1016" s="32">
        <v>2</v>
      </c>
      <c r="E1016" s="15">
        <f>INDEX(monster!$H$2:$H$617,MATCH(skill!C1016,monster!$A$2:$A$617,0))</f>
        <v>60.42</v>
      </c>
      <c r="F1016" s="15">
        <f>INDEX(monster!$I$2:$I$617,MATCH(C1016,monster!$A$2:$A$617,0))</f>
        <v>1.81</v>
      </c>
      <c r="G1016" s="15" t="b">
        <f t="shared" si="55"/>
        <v>1</v>
      </c>
      <c r="H1016" s="31">
        <v>1</v>
      </c>
      <c r="I1016" s="15">
        <f>IF(H1016&gt;0,HLOOKUP(R1016/100,数值规划表!$B$37:$AA$39,3),1)</f>
        <v>2.3760000000000003</v>
      </c>
      <c r="J1016" s="31" t="s">
        <v>1625</v>
      </c>
      <c r="K1016" s="15">
        <f>INDEX(数值规划表!$B$15:$B$18,MATCH(J1016,攻击范围,0))</f>
        <v>1</v>
      </c>
      <c r="L1016" s="41">
        <v>1</v>
      </c>
      <c r="M1016" s="41">
        <v>0</v>
      </c>
      <c r="N1016" s="15">
        <f t="shared" si="56"/>
        <v>144</v>
      </c>
      <c r="O1016" s="15">
        <f t="shared" si="57"/>
        <v>4.3</v>
      </c>
      <c r="P1016" s="15">
        <f>IF(G1016,INDEX(monster!$J$2:$J$606,MATCH(skill!C1016,monster!$A$2:$A$606,0)),Q1016)</f>
        <v>9</v>
      </c>
      <c r="Q1016" s="70"/>
      <c r="R1016" s="33">
        <v>180</v>
      </c>
    </row>
    <row r="1017" spans="1:18" s="38" customFormat="1" x14ac:dyDescent="0.15">
      <c r="A1017" s="32">
        <v>11083</v>
      </c>
      <c r="B1017" s="32" t="s">
        <v>1295</v>
      </c>
      <c r="C1017" s="31">
        <v>1564</v>
      </c>
      <c r="D1017" s="32">
        <v>3</v>
      </c>
      <c r="E1017" s="15">
        <f>INDEX(monster!$H$2:$H$617,MATCH(skill!C1017,monster!$A$2:$A$617,0))</f>
        <v>67.680000000000007</v>
      </c>
      <c r="F1017" s="15">
        <f>INDEX(monster!$I$2:$I$617,MATCH(C1017,monster!$A$2:$A$617,0))</f>
        <v>2.0299999999999998</v>
      </c>
      <c r="G1017" s="15" t="b">
        <f t="shared" si="55"/>
        <v>1</v>
      </c>
      <c r="H1017" s="31">
        <v>1</v>
      </c>
      <c r="I1017" s="15">
        <f>IF(H1017&gt;0,HLOOKUP(R1017/100,数值规划表!$B$37:$AA$39,3),1)</f>
        <v>2.3760000000000003</v>
      </c>
      <c r="J1017" s="31" t="s">
        <v>1625</v>
      </c>
      <c r="K1017" s="15">
        <f>INDEX(数值规划表!$B$15:$B$18,MATCH(J1017,攻击范围,0))</f>
        <v>1</v>
      </c>
      <c r="L1017" s="41">
        <v>1</v>
      </c>
      <c r="M1017" s="41">
        <v>0</v>
      </c>
      <c r="N1017" s="15">
        <f t="shared" si="56"/>
        <v>161</v>
      </c>
      <c r="O1017" s="15">
        <f t="shared" si="57"/>
        <v>4.82</v>
      </c>
      <c r="P1017" s="15">
        <f>IF(G1017,INDEX(monster!$J$2:$J$606,MATCH(skill!C1017,monster!$A$2:$A$606,0)),Q1017)</f>
        <v>9</v>
      </c>
      <c r="Q1017" s="70"/>
      <c r="R1017" s="33">
        <v>180</v>
      </c>
    </row>
    <row r="1018" spans="1:18" s="38" customFormat="1" x14ac:dyDescent="0.15">
      <c r="A1018" s="32">
        <v>11084</v>
      </c>
      <c r="B1018" s="32" t="s">
        <v>1296</v>
      </c>
      <c r="C1018" s="31">
        <v>1565</v>
      </c>
      <c r="D1018" s="32">
        <v>4</v>
      </c>
      <c r="E1018" s="15">
        <f>INDEX(monster!$H$2:$H$617,MATCH(skill!C1018,monster!$A$2:$A$617,0))</f>
        <v>75.8</v>
      </c>
      <c r="F1018" s="15">
        <f>INDEX(monster!$I$2:$I$617,MATCH(C1018,monster!$A$2:$A$617,0))</f>
        <v>2.27</v>
      </c>
      <c r="G1018" s="15" t="b">
        <f t="shared" si="55"/>
        <v>1</v>
      </c>
      <c r="H1018" s="31">
        <v>1</v>
      </c>
      <c r="I1018" s="15">
        <f>IF(H1018&gt;0,HLOOKUP(R1018/100,数值规划表!$B$37:$AA$39,3),1)</f>
        <v>2.3760000000000003</v>
      </c>
      <c r="J1018" s="31" t="s">
        <v>1625</v>
      </c>
      <c r="K1018" s="15">
        <f>INDEX(数值规划表!$B$15:$B$18,MATCH(J1018,攻击范围,0))</f>
        <v>1</v>
      </c>
      <c r="L1018" s="41">
        <v>1</v>
      </c>
      <c r="M1018" s="41">
        <v>0</v>
      </c>
      <c r="N1018" s="15">
        <f t="shared" si="56"/>
        <v>180</v>
      </c>
      <c r="O1018" s="15">
        <f t="shared" si="57"/>
        <v>5.39</v>
      </c>
      <c r="P1018" s="15">
        <f>IF(G1018,INDEX(monster!$J$2:$J$606,MATCH(skill!C1018,monster!$A$2:$A$606,0)),Q1018)</f>
        <v>9</v>
      </c>
      <c r="Q1018" s="70"/>
      <c r="R1018" s="33">
        <v>180</v>
      </c>
    </row>
    <row r="1019" spans="1:18" s="38" customFormat="1" x14ac:dyDescent="0.15">
      <c r="A1019" s="32">
        <v>11085</v>
      </c>
      <c r="B1019" s="32" t="s">
        <v>1297</v>
      </c>
      <c r="C1019" s="31">
        <v>1566</v>
      </c>
      <c r="D1019" s="32">
        <v>5</v>
      </c>
      <c r="E1019" s="15">
        <f>INDEX(monster!$H$2:$H$617,MATCH(skill!C1019,monster!$A$2:$A$617,0))</f>
        <v>84.89</v>
      </c>
      <c r="F1019" s="15">
        <f>INDEX(monster!$I$2:$I$617,MATCH(C1019,monster!$A$2:$A$617,0))</f>
        <v>2.5499999999999998</v>
      </c>
      <c r="G1019" s="15" t="b">
        <f t="shared" si="55"/>
        <v>1</v>
      </c>
      <c r="H1019" s="31">
        <v>1</v>
      </c>
      <c r="I1019" s="15">
        <f>IF(H1019&gt;0,HLOOKUP(R1019/100,数值规划表!$B$37:$AA$39,3),1)</f>
        <v>2.3760000000000003</v>
      </c>
      <c r="J1019" s="31" t="s">
        <v>1625</v>
      </c>
      <c r="K1019" s="15">
        <f>INDEX(数值规划表!$B$15:$B$18,MATCH(J1019,攻击范围,0))</f>
        <v>1</v>
      </c>
      <c r="L1019" s="41">
        <v>1</v>
      </c>
      <c r="M1019" s="41">
        <v>0</v>
      </c>
      <c r="N1019" s="15">
        <f t="shared" si="56"/>
        <v>202</v>
      </c>
      <c r="O1019" s="15">
        <f t="shared" si="57"/>
        <v>6.06</v>
      </c>
      <c r="P1019" s="15">
        <f>IF(G1019,INDEX(monster!$J$2:$J$606,MATCH(skill!C1019,monster!$A$2:$A$606,0)),Q1019)</f>
        <v>9</v>
      </c>
      <c r="Q1019" s="70"/>
      <c r="R1019" s="33">
        <v>180</v>
      </c>
    </row>
    <row r="1020" spans="1:18" s="38" customFormat="1" x14ac:dyDescent="0.15">
      <c r="A1020" s="32">
        <v>11086</v>
      </c>
      <c r="B1020" s="32" t="s">
        <v>1298</v>
      </c>
      <c r="C1020" s="31">
        <v>1567</v>
      </c>
      <c r="D1020" s="32">
        <v>6</v>
      </c>
      <c r="E1020" s="15">
        <f>INDEX(monster!$H$2:$H$617,MATCH(skill!C1020,monster!$A$2:$A$617,0))</f>
        <v>95.08</v>
      </c>
      <c r="F1020" s="15">
        <f>INDEX(monster!$I$2:$I$617,MATCH(C1020,monster!$A$2:$A$617,0))</f>
        <v>2.85</v>
      </c>
      <c r="G1020" s="15" t="b">
        <f t="shared" si="55"/>
        <v>1</v>
      </c>
      <c r="H1020" s="31">
        <v>1</v>
      </c>
      <c r="I1020" s="15">
        <f>IF(H1020&gt;0,HLOOKUP(R1020/100,数值规划表!$B$37:$AA$39,3),1)</f>
        <v>2.3760000000000003</v>
      </c>
      <c r="J1020" s="31" t="s">
        <v>1625</v>
      </c>
      <c r="K1020" s="15">
        <f>INDEX(数值规划表!$B$15:$B$18,MATCH(J1020,攻击范围,0))</f>
        <v>1</v>
      </c>
      <c r="L1020" s="41">
        <v>1</v>
      </c>
      <c r="M1020" s="41">
        <v>0</v>
      </c>
      <c r="N1020" s="15">
        <f t="shared" si="56"/>
        <v>226</v>
      </c>
      <c r="O1020" s="15">
        <f t="shared" si="57"/>
        <v>6.77</v>
      </c>
      <c r="P1020" s="15">
        <f>IF(G1020,INDEX(monster!$J$2:$J$606,MATCH(skill!C1020,monster!$A$2:$A$606,0)),Q1020)</f>
        <v>9</v>
      </c>
      <c r="Q1020" s="70"/>
      <c r="R1020" s="33">
        <v>180</v>
      </c>
    </row>
    <row r="1021" spans="1:18" s="38" customFormat="1" x14ac:dyDescent="0.15">
      <c r="A1021" s="32">
        <v>11087</v>
      </c>
      <c r="B1021" s="32" t="s">
        <v>1299</v>
      </c>
      <c r="C1021" s="31">
        <v>1568</v>
      </c>
      <c r="D1021" s="32">
        <v>7</v>
      </c>
      <c r="E1021" s="15">
        <f>INDEX(monster!$H$2:$H$617,MATCH(skill!C1021,monster!$A$2:$A$617,0))</f>
        <v>106.49</v>
      </c>
      <c r="F1021" s="15">
        <f>INDEX(monster!$I$2:$I$617,MATCH(C1021,monster!$A$2:$A$617,0))</f>
        <v>3.19</v>
      </c>
      <c r="G1021" s="15" t="b">
        <f t="shared" si="55"/>
        <v>1</v>
      </c>
      <c r="H1021" s="31">
        <v>1</v>
      </c>
      <c r="I1021" s="15">
        <f>IF(H1021&gt;0,HLOOKUP(R1021/100,数值规划表!$B$37:$AA$39,3),1)</f>
        <v>2.3760000000000003</v>
      </c>
      <c r="J1021" s="31" t="s">
        <v>1625</v>
      </c>
      <c r="K1021" s="15">
        <f>INDEX(数值规划表!$B$15:$B$18,MATCH(J1021,攻击范围,0))</f>
        <v>1</v>
      </c>
      <c r="L1021" s="41">
        <v>1</v>
      </c>
      <c r="M1021" s="41">
        <v>0</v>
      </c>
      <c r="N1021" s="15">
        <f t="shared" si="56"/>
        <v>253</v>
      </c>
      <c r="O1021" s="15">
        <f t="shared" si="57"/>
        <v>7.58</v>
      </c>
      <c r="P1021" s="15">
        <f>IF(G1021,INDEX(monster!$J$2:$J$606,MATCH(skill!C1021,monster!$A$2:$A$606,0)),Q1021)</f>
        <v>9</v>
      </c>
      <c r="Q1021" s="70"/>
      <c r="R1021" s="33">
        <v>180</v>
      </c>
    </row>
    <row r="1022" spans="1:18" s="38" customFormat="1" x14ac:dyDescent="0.15">
      <c r="A1022" s="32">
        <v>11088</v>
      </c>
      <c r="B1022" s="32" t="s">
        <v>1300</v>
      </c>
      <c r="C1022" s="31">
        <v>1569</v>
      </c>
      <c r="D1022" s="32">
        <v>8</v>
      </c>
      <c r="E1022" s="15">
        <f>INDEX(monster!$H$2:$H$617,MATCH(skill!C1022,monster!$A$2:$A$617,0))</f>
        <v>119.27</v>
      </c>
      <c r="F1022" s="15">
        <f>INDEX(monster!$I$2:$I$617,MATCH(C1022,monster!$A$2:$A$617,0))</f>
        <v>3.58</v>
      </c>
      <c r="G1022" s="15" t="b">
        <f t="shared" si="55"/>
        <v>1</v>
      </c>
      <c r="H1022" s="31">
        <v>1</v>
      </c>
      <c r="I1022" s="15">
        <f>IF(H1022&gt;0,HLOOKUP(R1022/100,数值规划表!$B$37:$AA$39,3),1)</f>
        <v>2.3760000000000003</v>
      </c>
      <c r="J1022" s="31" t="s">
        <v>1625</v>
      </c>
      <c r="K1022" s="15">
        <f>INDEX(数值规划表!$B$15:$B$18,MATCH(J1022,攻击范围,0))</f>
        <v>1</v>
      </c>
      <c r="L1022" s="41">
        <v>1</v>
      </c>
      <c r="M1022" s="41">
        <v>0</v>
      </c>
      <c r="N1022" s="15">
        <f t="shared" si="56"/>
        <v>283</v>
      </c>
      <c r="O1022" s="15">
        <f t="shared" si="57"/>
        <v>8.51</v>
      </c>
      <c r="P1022" s="15">
        <f>IF(G1022,INDEX(monster!$J$2:$J$606,MATCH(skill!C1022,monster!$A$2:$A$606,0)),Q1022)</f>
        <v>9</v>
      </c>
      <c r="Q1022" s="70"/>
      <c r="R1022" s="33">
        <v>180</v>
      </c>
    </row>
    <row r="1023" spans="1:18" s="38" customFormat="1" x14ac:dyDescent="0.15">
      <c r="A1023" s="32">
        <v>11089</v>
      </c>
      <c r="B1023" s="32" t="s">
        <v>1301</v>
      </c>
      <c r="C1023" s="31">
        <v>1570</v>
      </c>
      <c r="D1023" s="32">
        <v>9</v>
      </c>
      <c r="E1023" s="15">
        <f>INDEX(monster!$H$2:$H$617,MATCH(skill!C1023,monster!$A$2:$A$617,0))</f>
        <v>133.58000000000001</v>
      </c>
      <c r="F1023" s="15">
        <f>INDEX(monster!$I$2:$I$617,MATCH(C1023,monster!$A$2:$A$617,0))</f>
        <v>4.01</v>
      </c>
      <c r="G1023" s="15" t="b">
        <f t="shared" si="55"/>
        <v>1</v>
      </c>
      <c r="H1023" s="31">
        <v>1</v>
      </c>
      <c r="I1023" s="15">
        <f>IF(H1023&gt;0,HLOOKUP(R1023/100,数值规划表!$B$37:$AA$39,3),1)</f>
        <v>2.3760000000000003</v>
      </c>
      <c r="J1023" s="31" t="s">
        <v>1625</v>
      </c>
      <c r="K1023" s="15">
        <f>INDEX(数值规划表!$B$15:$B$18,MATCH(J1023,攻击范围,0))</f>
        <v>1</v>
      </c>
      <c r="L1023" s="41">
        <v>1</v>
      </c>
      <c r="M1023" s="41">
        <v>0</v>
      </c>
      <c r="N1023" s="15">
        <f t="shared" si="56"/>
        <v>317</v>
      </c>
      <c r="O1023" s="15">
        <f t="shared" si="57"/>
        <v>9.5299999999999994</v>
      </c>
      <c r="P1023" s="15">
        <f>IF(G1023,INDEX(monster!$J$2:$J$606,MATCH(skill!C1023,monster!$A$2:$A$606,0)),Q1023)</f>
        <v>9</v>
      </c>
      <c r="Q1023" s="70"/>
      <c r="R1023" s="33">
        <v>180</v>
      </c>
    </row>
    <row r="1024" spans="1:18" s="38" customFormat="1" x14ac:dyDescent="0.15">
      <c r="A1024" s="32">
        <v>11090</v>
      </c>
      <c r="B1024" s="32" t="s">
        <v>1302</v>
      </c>
      <c r="C1024" s="31">
        <v>1571</v>
      </c>
      <c r="D1024" s="32">
        <v>10</v>
      </c>
      <c r="E1024" s="15">
        <f>INDEX(monster!$H$2:$H$617,MATCH(skill!C1024,monster!$A$2:$A$617,0))</f>
        <v>149.61000000000001</v>
      </c>
      <c r="F1024" s="15">
        <f>INDEX(monster!$I$2:$I$617,MATCH(C1024,monster!$A$2:$A$617,0))</f>
        <v>4.49</v>
      </c>
      <c r="G1024" s="15" t="b">
        <f t="shared" si="55"/>
        <v>1</v>
      </c>
      <c r="H1024" s="31">
        <v>1</v>
      </c>
      <c r="I1024" s="15">
        <f>IF(H1024&gt;0,HLOOKUP(R1024/100,数值规划表!$B$37:$AA$39,3),1)</f>
        <v>2.3760000000000003</v>
      </c>
      <c r="J1024" s="31" t="s">
        <v>1625</v>
      </c>
      <c r="K1024" s="15">
        <f>INDEX(数值规划表!$B$15:$B$18,MATCH(J1024,攻击范围,0))</f>
        <v>1</v>
      </c>
      <c r="L1024" s="41">
        <v>1</v>
      </c>
      <c r="M1024" s="41">
        <v>0</v>
      </c>
      <c r="N1024" s="15">
        <f t="shared" si="56"/>
        <v>355</v>
      </c>
      <c r="O1024" s="15">
        <f t="shared" si="57"/>
        <v>10.67</v>
      </c>
      <c r="P1024" s="15">
        <f>IF(G1024,INDEX(monster!$J$2:$J$606,MATCH(skill!C1024,monster!$A$2:$A$606,0)),Q1024)</f>
        <v>9</v>
      </c>
      <c r="Q1024" s="70"/>
      <c r="R1024" s="33">
        <v>180</v>
      </c>
    </row>
    <row r="1025" spans="1:18" s="38" customFormat="1" x14ac:dyDescent="0.15">
      <c r="A1025" s="32">
        <v>11091</v>
      </c>
      <c r="B1025" s="32" t="s">
        <v>1591</v>
      </c>
      <c r="C1025" s="31">
        <v>1561</v>
      </c>
      <c r="D1025" s="32">
        <v>0</v>
      </c>
      <c r="E1025" s="15">
        <f>INDEX(monster!$H$2:$H$617,MATCH(skill!C1025,monster!$A$2:$A$617,0))</f>
        <v>48.17</v>
      </c>
      <c r="F1025" s="15">
        <f>INDEX(monster!$I$2:$I$617,MATCH(C1025,monster!$A$2:$A$617,0))</f>
        <v>1.45</v>
      </c>
      <c r="G1025" s="15" t="b">
        <f t="shared" si="55"/>
        <v>0</v>
      </c>
      <c r="H1025" s="31">
        <v>0</v>
      </c>
      <c r="I1025" s="15">
        <f>IF(H1025&gt;0,HLOOKUP(R1025/100,数值规划表!$B$37:$AA$39,3),1)</f>
        <v>1</v>
      </c>
      <c r="J1025" s="31" t="s">
        <v>1627</v>
      </c>
      <c r="K1025" s="15">
        <f>INDEX(数值规划表!$B$15:$B$18,MATCH(J1025,攻击范围,0))</f>
        <v>0.7</v>
      </c>
      <c r="L1025" s="30">
        <v>2.7</v>
      </c>
      <c r="M1025" s="41">
        <v>0</v>
      </c>
      <c r="N1025" s="15">
        <f t="shared" si="56"/>
        <v>91</v>
      </c>
      <c r="O1025" s="15">
        <f t="shared" si="57"/>
        <v>2.74</v>
      </c>
      <c r="P1025" s="15">
        <f>IF(G1025,INDEX(monster!$J$2:$J$606,MATCH(skill!C1025,monster!$A$2:$A$606,0)),Q1025)</f>
        <v>0</v>
      </c>
      <c r="Q1025" s="70"/>
      <c r="R1025" s="33">
        <v>1500</v>
      </c>
    </row>
    <row r="1026" spans="1:18" s="38" customFormat="1" x14ac:dyDescent="0.15">
      <c r="A1026" s="32">
        <v>11092</v>
      </c>
      <c r="B1026" s="32" t="s">
        <v>1592</v>
      </c>
      <c r="C1026" s="31">
        <v>1562</v>
      </c>
      <c r="D1026" s="32">
        <v>1</v>
      </c>
      <c r="E1026" s="15">
        <f>INDEX(monster!$H$2:$H$617,MATCH(skill!C1026,monster!$A$2:$A$617,0))</f>
        <v>53.95</v>
      </c>
      <c r="F1026" s="15">
        <f>INDEX(monster!$I$2:$I$617,MATCH(C1026,monster!$A$2:$A$617,0))</f>
        <v>1.62</v>
      </c>
      <c r="G1026" s="15" t="b">
        <f t="shared" si="55"/>
        <v>0</v>
      </c>
      <c r="H1026" s="31">
        <v>0</v>
      </c>
      <c r="I1026" s="15">
        <f>IF(H1026&gt;0,HLOOKUP(R1026/100,数值规划表!$B$37:$AA$39,3),1)</f>
        <v>1</v>
      </c>
      <c r="J1026" s="31" t="s">
        <v>1627</v>
      </c>
      <c r="K1026" s="15">
        <f>INDEX(数值规划表!$B$15:$B$18,MATCH(J1026,攻击范围,0))</f>
        <v>0.7</v>
      </c>
      <c r="L1026" s="50">
        <v>2.7</v>
      </c>
      <c r="M1026" s="41">
        <v>0</v>
      </c>
      <c r="N1026" s="15">
        <f t="shared" si="56"/>
        <v>102</v>
      </c>
      <c r="O1026" s="15">
        <f t="shared" si="57"/>
        <v>3.06</v>
      </c>
      <c r="P1026" s="15">
        <f>IF(G1026,INDEX(monster!$J$2:$J$606,MATCH(skill!C1026,monster!$A$2:$A$606,0)),Q1026)</f>
        <v>0</v>
      </c>
      <c r="Q1026" s="70"/>
      <c r="R1026" s="33">
        <v>1500</v>
      </c>
    </row>
    <row r="1027" spans="1:18" s="38" customFormat="1" x14ac:dyDescent="0.15">
      <c r="A1027" s="32">
        <v>11093</v>
      </c>
      <c r="B1027" s="32" t="s">
        <v>1303</v>
      </c>
      <c r="C1027" s="31">
        <v>1563</v>
      </c>
      <c r="D1027" s="32">
        <v>2</v>
      </c>
      <c r="E1027" s="15">
        <f>INDEX(monster!$H$2:$H$617,MATCH(skill!C1027,monster!$A$2:$A$617,0))</f>
        <v>60.42</v>
      </c>
      <c r="F1027" s="15">
        <f>INDEX(monster!$I$2:$I$617,MATCH(C1027,monster!$A$2:$A$617,0))</f>
        <v>1.81</v>
      </c>
      <c r="G1027" s="15" t="b">
        <f t="shared" si="55"/>
        <v>0</v>
      </c>
      <c r="H1027" s="31">
        <v>0</v>
      </c>
      <c r="I1027" s="15">
        <f>IF(H1027&gt;0,HLOOKUP(R1027/100,数值规划表!$B$37:$AA$39,3),1)</f>
        <v>1</v>
      </c>
      <c r="J1027" s="31" t="s">
        <v>1627</v>
      </c>
      <c r="K1027" s="15">
        <f>INDEX(数值规划表!$B$15:$B$18,MATCH(J1027,攻击范围,0))</f>
        <v>0.7</v>
      </c>
      <c r="L1027" s="50">
        <v>2.7</v>
      </c>
      <c r="M1027" s="41">
        <v>0</v>
      </c>
      <c r="N1027" s="15">
        <f t="shared" si="56"/>
        <v>114</v>
      </c>
      <c r="O1027" s="15">
        <f t="shared" si="57"/>
        <v>3.42</v>
      </c>
      <c r="P1027" s="15">
        <f>IF(G1027,INDEX(monster!$J$2:$J$606,MATCH(skill!C1027,monster!$A$2:$A$606,0)),Q1027)</f>
        <v>0</v>
      </c>
      <c r="Q1027" s="70"/>
      <c r="R1027" s="33">
        <v>1500</v>
      </c>
    </row>
    <row r="1028" spans="1:18" s="38" customFormat="1" x14ac:dyDescent="0.15">
      <c r="A1028" s="32">
        <v>11094</v>
      </c>
      <c r="B1028" s="32" t="s">
        <v>1304</v>
      </c>
      <c r="C1028" s="31">
        <v>1564</v>
      </c>
      <c r="D1028" s="32">
        <v>3</v>
      </c>
      <c r="E1028" s="15">
        <f>INDEX(monster!$H$2:$H$617,MATCH(skill!C1028,monster!$A$2:$A$617,0))</f>
        <v>67.680000000000007</v>
      </c>
      <c r="F1028" s="15">
        <f>INDEX(monster!$I$2:$I$617,MATCH(C1028,monster!$A$2:$A$617,0))</f>
        <v>2.0299999999999998</v>
      </c>
      <c r="G1028" s="15" t="b">
        <f t="shared" si="55"/>
        <v>0</v>
      </c>
      <c r="H1028" s="31">
        <v>0</v>
      </c>
      <c r="I1028" s="15">
        <f>IF(H1028&gt;0,HLOOKUP(R1028/100,数值规划表!$B$37:$AA$39,3),1)</f>
        <v>1</v>
      </c>
      <c r="J1028" s="31" t="s">
        <v>1627</v>
      </c>
      <c r="K1028" s="15">
        <f>INDEX(数值规划表!$B$15:$B$18,MATCH(J1028,攻击范围,0))</f>
        <v>0.7</v>
      </c>
      <c r="L1028" s="50">
        <v>2.7</v>
      </c>
      <c r="M1028" s="41">
        <v>0</v>
      </c>
      <c r="N1028" s="15">
        <f t="shared" si="56"/>
        <v>128</v>
      </c>
      <c r="O1028" s="15">
        <f t="shared" si="57"/>
        <v>3.84</v>
      </c>
      <c r="P1028" s="15">
        <f>IF(G1028,INDEX(monster!$J$2:$J$606,MATCH(skill!C1028,monster!$A$2:$A$606,0)),Q1028)</f>
        <v>0</v>
      </c>
      <c r="Q1028" s="70"/>
      <c r="R1028" s="33">
        <v>1500</v>
      </c>
    </row>
    <row r="1029" spans="1:18" s="38" customFormat="1" x14ac:dyDescent="0.15">
      <c r="A1029" s="32">
        <v>11095</v>
      </c>
      <c r="B1029" s="32" t="s">
        <v>1305</v>
      </c>
      <c r="C1029" s="31">
        <v>1565</v>
      </c>
      <c r="D1029" s="32">
        <v>4</v>
      </c>
      <c r="E1029" s="15">
        <f>INDEX(monster!$H$2:$H$617,MATCH(skill!C1029,monster!$A$2:$A$617,0))</f>
        <v>75.8</v>
      </c>
      <c r="F1029" s="15">
        <f>INDEX(monster!$I$2:$I$617,MATCH(C1029,monster!$A$2:$A$617,0))</f>
        <v>2.27</v>
      </c>
      <c r="G1029" s="15" t="b">
        <f t="shared" si="55"/>
        <v>0</v>
      </c>
      <c r="H1029" s="31">
        <v>0</v>
      </c>
      <c r="I1029" s="15">
        <f>IF(H1029&gt;0,HLOOKUP(R1029/100,数值规划表!$B$37:$AA$39,3),1)</f>
        <v>1</v>
      </c>
      <c r="J1029" s="31" t="s">
        <v>1627</v>
      </c>
      <c r="K1029" s="15">
        <f>INDEX(数值规划表!$B$15:$B$18,MATCH(J1029,攻击范围,0))</f>
        <v>0.7</v>
      </c>
      <c r="L1029" s="50">
        <v>2.7</v>
      </c>
      <c r="M1029" s="41">
        <v>0</v>
      </c>
      <c r="N1029" s="15">
        <f t="shared" si="56"/>
        <v>143</v>
      </c>
      <c r="O1029" s="15">
        <f t="shared" si="57"/>
        <v>4.29</v>
      </c>
      <c r="P1029" s="15">
        <f>IF(G1029,INDEX(monster!$J$2:$J$606,MATCH(skill!C1029,monster!$A$2:$A$606,0)),Q1029)</f>
        <v>0</v>
      </c>
      <c r="Q1029" s="70"/>
      <c r="R1029" s="33">
        <v>1500</v>
      </c>
    </row>
    <row r="1030" spans="1:18" s="38" customFormat="1" x14ac:dyDescent="0.15">
      <c r="A1030" s="32">
        <v>11096</v>
      </c>
      <c r="B1030" s="32" t="s">
        <v>1306</v>
      </c>
      <c r="C1030" s="31">
        <v>1566</v>
      </c>
      <c r="D1030" s="32">
        <v>5</v>
      </c>
      <c r="E1030" s="15">
        <f>INDEX(monster!$H$2:$H$617,MATCH(skill!C1030,monster!$A$2:$A$617,0))</f>
        <v>84.89</v>
      </c>
      <c r="F1030" s="15">
        <f>INDEX(monster!$I$2:$I$617,MATCH(C1030,monster!$A$2:$A$617,0))</f>
        <v>2.5499999999999998</v>
      </c>
      <c r="G1030" s="15" t="b">
        <f t="shared" si="55"/>
        <v>0</v>
      </c>
      <c r="H1030" s="31">
        <v>0</v>
      </c>
      <c r="I1030" s="15">
        <f>IF(H1030&gt;0,HLOOKUP(R1030/100,数值规划表!$B$37:$AA$39,3),1)</f>
        <v>1</v>
      </c>
      <c r="J1030" s="31" t="s">
        <v>1627</v>
      </c>
      <c r="K1030" s="15">
        <f>INDEX(数值规划表!$B$15:$B$18,MATCH(J1030,攻击范围,0))</f>
        <v>0.7</v>
      </c>
      <c r="L1030" s="50">
        <v>2.7</v>
      </c>
      <c r="M1030" s="41">
        <v>0</v>
      </c>
      <c r="N1030" s="15">
        <f t="shared" si="56"/>
        <v>160</v>
      </c>
      <c r="O1030" s="15">
        <f t="shared" si="57"/>
        <v>4.82</v>
      </c>
      <c r="P1030" s="15">
        <f>IF(G1030,INDEX(monster!$J$2:$J$606,MATCH(skill!C1030,monster!$A$2:$A$606,0)),Q1030)</f>
        <v>0</v>
      </c>
      <c r="Q1030" s="70"/>
      <c r="R1030" s="33">
        <v>1500</v>
      </c>
    </row>
    <row r="1031" spans="1:18" s="38" customFormat="1" x14ac:dyDescent="0.15">
      <c r="A1031" s="32">
        <v>11097</v>
      </c>
      <c r="B1031" s="32" t="s">
        <v>1307</v>
      </c>
      <c r="C1031" s="31">
        <v>1567</v>
      </c>
      <c r="D1031" s="32">
        <v>6</v>
      </c>
      <c r="E1031" s="15">
        <f>INDEX(monster!$H$2:$H$617,MATCH(skill!C1031,monster!$A$2:$A$617,0))</f>
        <v>95.08</v>
      </c>
      <c r="F1031" s="15">
        <f>INDEX(monster!$I$2:$I$617,MATCH(C1031,monster!$A$2:$A$617,0))</f>
        <v>2.85</v>
      </c>
      <c r="G1031" s="15" t="b">
        <f t="shared" ref="G1031:G1068" si="58">ISNUMBER(FIND("普攻",B1031))</f>
        <v>0</v>
      </c>
      <c r="H1031" s="31">
        <v>0</v>
      </c>
      <c r="I1031" s="15">
        <f>IF(H1031&gt;0,HLOOKUP(R1031/100,数值规划表!$B$37:$AA$39,3),1)</f>
        <v>1</v>
      </c>
      <c r="J1031" s="31" t="s">
        <v>1627</v>
      </c>
      <c r="K1031" s="15">
        <f>INDEX(数值规划表!$B$15:$B$18,MATCH(J1031,攻击范围,0))</f>
        <v>0.7</v>
      </c>
      <c r="L1031" s="50">
        <v>2.7</v>
      </c>
      <c r="M1031" s="41">
        <v>0</v>
      </c>
      <c r="N1031" s="15">
        <f t="shared" si="56"/>
        <v>180</v>
      </c>
      <c r="O1031" s="15">
        <f t="shared" si="57"/>
        <v>5.39</v>
      </c>
      <c r="P1031" s="15">
        <f>IF(G1031,INDEX(monster!$J$2:$J$606,MATCH(skill!C1031,monster!$A$2:$A$606,0)),Q1031)</f>
        <v>0</v>
      </c>
      <c r="Q1031" s="70"/>
      <c r="R1031" s="33">
        <v>1500</v>
      </c>
    </row>
    <row r="1032" spans="1:18" s="38" customFormat="1" x14ac:dyDescent="0.15">
      <c r="A1032" s="32">
        <v>11098</v>
      </c>
      <c r="B1032" s="32" t="s">
        <v>1308</v>
      </c>
      <c r="C1032" s="31">
        <v>1568</v>
      </c>
      <c r="D1032" s="32">
        <v>7</v>
      </c>
      <c r="E1032" s="15">
        <f>INDEX(monster!$H$2:$H$617,MATCH(skill!C1032,monster!$A$2:$A$617,0))</f>
        <v>106.49</v>
      </c>
      <c r="F1032" s="15">
        <f>INDEX(monster!$I$2:$I$617,MATCH(C1032,monster!$A$2:$A$617,0))</f>
        <v>3.19</v>
      </c>
      <c r="G1032" s="15" t="b">
        <f t="shared" si="58"/>
        <v>0</v>
      </c>
      <c r="H1032" s="31">
        <v>0</v>
      </c>
      <c r="I1032" s="15">
        <f>IF(H1032&gt;0,HLOOKUP(R1032/100,数值规划表!$B$37:$AA$39,3),1)</f>
        <v>1</v>
      </c>
      <c r="J1032" s="31" t="s">
        <v>1627</v>
      </c>
      <c r="K1032" s="15">
        <f>INDEX(数值规划表!$B$15:$B$18,MATCH(J1032,攻击范围,0))</f>
        <v>0.7</v>
      </c>
      <c r="L1032" s="50">
        <v>2.7</v>
      </c>
      <c r="M1032" s="41">
        <v>0</v>
      </c>
      <c r="N1032" s="15">
        <f t="shared" si="56"/>
        <v>201</v>
      </c>
      <c r="O1032" s="15">
        <f t="shared" si="57"/>
        <v>6.03</v>
      </c>
      <c r="P1032" s="15">
        <f>IF(G1032,INDEX(monster!$J$2:$J$606,MATCH(skill!C1032,monster!$A$2:$A$606,0)),Q1032)</f>
        <v>0</v>
      </c>
      <c r="Q1032" s="70"/>
      <c r="R1032" s="33">
        <v>1500</v>
      </c>
    </row>
    <row r="1033" spans="1:18" s="38" customFormat="1" x14ac:dyDescent="0.15">
      <c r="A1033" s="32">
        <v>11099</v>
      </c>
      <c r="B1033" s="32" t="s">
        <v>1309</v>
      </c>
      <c r="C1033" s="31">
        <v>1569</v>
      </c>
      <c r="D1033" s="32">
        <v>8</v>
      </c>
      <c r="E1033" s="15">
        <f>INDEX(monster!$H$2:$H$617,MATCH(skill!C1033,monster!$A$2:$A$617,0))</f>
        <v>119.27</v>
      </c>
      <c r="F1033" s="15">
        <f>INDEX(monster!$I$2:$I$617,MATCH(C1033,monster!$A$2:$A$617,0))</f>
        <v>3.58</v>
      </c>
      <c r="G1033" s="15" t="b">
        <f t="shared" si="58"/>
        <v>0</v>
      </c>
      <c r="H1033" s="31">
        <v>0</v>
      </c>
      <c r="I1033" s="15">
        <f>IF(H1033&gt;0,HLOOKUP(R1033/100,数值规划表!$B$37:$AA$39,3),1)</f>
        <v>1</v>
      </c>
      <c r="J1033" s="31" t="s">
        <v>1627</v>
      </c>
      <c r="K1033" s="15">
        <f>INDEX(数值规划表!$B$15:$B$18,MATCH(J1033,攻击范围,0))</f>
        <v>0.7</v>
      </c>
      <c r="L1033" s="50">
        <v>2.7</v>
      </c>
      <c r="M1033" s="41">
        <v>0</v>
      </c>
      <c r="N1033" s="15">
        <f t="shared" si="56"/>
        <v>225</v>
      </c>
      <c r="O1033" s="15">
        <f t="shared" si="57"/>
        <v>6.77</v>
      </c>
      <c r="P1033" s="15">
        <f>IF(G1033,INDEX(monster!$J$2:$J$606,MATCH(skill!C1033,monster!$A$2:$A$606,0)),Q1033)</f>
        <v>0</v>
      </c>
      <c r="Q1033" s="70"/>
      <c r="R1033" s="33">
        <v>1500</v>
      </c>
    </row>
    <row r="1034" spans="1:18" s="38" customFormat="1" x14ac:dyDescent="0.15">
      <c r="A1034" s="32">
        <v>11100</v>
      </c>
      <c r="B1034" s="32" t="s">
        <v>1310</v>
      </c>
      <c r="C1034" s="31">
        <v>1570</v>
      </c>
      <c r="D1034" s="32">
        <v>9</v>
      </c>
      <c r="E1034" s="15">
        <f>INDEX(monster!$H$2:$H$617,MATCH(skill!C1034,monster!$A$2:$A$617,0))</f>
        <v>133.58000000000001</v>
      </c>
      <c r="F1034" s="15">
        <f>INDEX(monster!$I$2:$I$617,MATCH(C1034,monster!$A$2:$A$617,0))</f>
        <v>4.01</v>
      </c>
      <c r="G1034" s="15" t="b">
        <f t="shared" si="58"/>
        <v>0</v>
      </c>
      <c r="H1034" s="31">
        <v>0</v>
      </c>
      <c r="I1034" s="15">
        <f>IF(H1034&gt;0,HLOOKUP(R1034/100,数值规划表!$B$37:$AA$39,3),1)</f>
        <v>1</v>
      </c>
      <c r="J1034" s="31" t="s">
        <v>1627</v>
      </c>
      <c r="K1034" s="15">
        <f>INDEX(数值规划表!$B$15:$B$18,MATCH(J1034,攻击范围,0))</f>
        <v>0.7</v>
      </c>
      <c r="L1034" s="50">
        <v>2.7</v>
      </c>
      <c r="M1034" s="41">
        <v>0</v>
      </c>
      <c r="N1034" s="15">
        <f t="shared" si="56"/>
        <v>252</v>
      </c>
      <c r="O1034" s="15">
        <f t="shared" si="57"/>
        <v>7.58</v>
      </c>
      <c r="P1034" s="15">
        <f>IF(G1034,INDEX(monster!$J$2:$J$606,MATCH(skill!C1034,monster!$A$2:$A$606,0)),Q1034)</f>
        <v>0</v>
      </c>
      <c r="Q1034" s="70"/>
      <c r="R1034" s="33">
        <v>1500</v>
      </c>
    </row>
    <row r="1035" spans="1:18" s="38" customFormat="1" x14ac:dyDescent="0.15">
      <c r="A1035" s="32">
        <v>11101</v>
      </c>
      <c r="B1035" s="32" t="s">
        <v>1311</v>
      </c>
      <c r="C1035" s="31">
        <v>1571</v>
      </c>
      <c r="D1035" s="32">
        <v>10</v>
      </c>
      <c r="E1035" s="15">
        <f>INDEX(monster!$H$2:$H$617,MATCH(skill!C1035,monster!$A$2:$A$617,0))</f>
        <v>149.61000000000001</v>
      </c>
      <c r="F1035" s="15">
        <f>INDEX(monster!$I$2:$I$617,MATCH(C1035,monster!$A$2:$A$617,0))</f>
        <v>4.49</v>
      </c>
      <c r="G1035" s="15" t="b">
        <f t="shared" si="58"/>
        <v>0</v>
      </c>
      <c r="H1035" s="31">
        <v>0</v>
      </c>
      <c r="I1035" s="15">
        <f>IF(H1035&gt;0,HLOOKUP(R1035/100,数值规划表!$B$37:$AA$39,3),1)</f>
        <v>1</v>
      </c>
      <c r="J1035" s="31" t="s">
        <v>1627</v>
      </c>
      <c r="K1035" s="15">
        <f>INDEX(数值规划表!$B$15:$B$18,MATCH(J1035,攻击范围,0))</f>
        <v>0.7</v>
      </c>
      <c r="L1035" s="50">
        <v>2.7</v>
      </c>
      <c r="M1035" s="41">
        <v>0</v>
      </c>
      <c r="N1035" s="15">
        <f t="shared" si="56"/>
        <v>283</v>
      </c>
      <c r="O1035" s="15">
        <f t="shared" si="57"/>
        <v>8.49</v>
      </c>
      <c r="P1035" s="15">
        <f>IF(G1035,INDEX(monster!$J$2:$J$606,MATCH(skill!C1035,monster!$A$2:$A$606,0)),Q1035)</f>
        <v>0</v>
      </c>
      <c r="Q1035" s="70"/>
      <c r="R1035" s="33">
        <v>1500</v>
      </c>
    </row>
    <row r="1036" spans="1:18" s="38" customFormat="1" x14ac:dyDescent="0.15">
      <c r="A1036" s="32">
        <v>11102</v>
      </c>
      <c r="B1036" s="32" t="s">
        <v>1593</v>
      </c>
      <c r="C1036" s="31">
        <v>1506</v>
      </c>
      <c r="D1036" s="32">
        <v>0</v>
      </c>
      <c r="E1036" s="15">
        <f>INDEX(monster!$H$2:$H$617,MATCH(skill!C1036,monster!$A$2:$A$617,0))</f>
        <v>46.56</v>
      </c>
      <c r="F1036" s="15">
        <f>INDEX(monster!$I$2:$I$617,MATCH(C1036,monster!$A$2:$A$617,0))</f>
        <v>1.4</v>
      </c>
      <c r="G1036" s="15" t="b">
        <f t="shared" si="58"/>
        <v>1</v>
      </c>
      <c r="H1036" s="31">
        <v>1</v>
      </c>
      <c r="I1036" s="15">
        <f>IF(H1036&gt;0,HLOOKUP(R1036/100,数值规划表!$B$37:$AA$39,3),1)</f>
        <v>1</v>
      </c>
      <c r="J1036" s="31" t="s">
        <v>1625</v>
      </c>
      <c r="K1036" s="15">
        <f>INDEX(数值规划表!$B$15:$B$18,MATCH(J1036,攻击范围,0))</f>
        <v>1</v>
      </c>
      <c r="L1036" s="30">
        <v>1</v>
      </c>
      <c r="M1036" s="41">
        <v>0</v>
      </c>
      <c r="N1036" s="15">
        <f t="shared" si="56"/>
        <v>47</v>
      </c>
      <c r="O1036" s="15">
        <f t="shared" si="57"/>
        <v>1.4</v>
      </c>
      <c r="P1036" s="15">
        <f>IF(G1036,INDEX(monster!$J$2:$J$606,MATCH(skill!C1036,monster!$A$2:$A$606,0)),Q1036)</f>
        <v>1.2</v>
      </c>
      <c r="Q1036" s="70"/>
      <c r="R1036" s="33">
        <v>100</v>
      </c>
    </row>
    <row r="1037" spans="1:18" s="38" customFormat="1" x14ac:dyDescent="0.15">
      <c r="A1037" s="32">
        <v>11103</v>
      </c>
      <c r="B1037" s="32" t="s">
        <v>1594</v>
      </c>
      <c r="C1037" s="31">
        <v>1507</v>
      </c>
      <c r="D1037" s="32">
        <v>1</v>
      </c>
      <c r="E1037" s="15">
        <f>INDEX(monster!$H$2:$H$617,MATCH(skill!C1037,monster!$A$2:$A$617,0))</f>
        <v>52.15</v>
      </c>
      <c r="F1037" s="15">
        <f>INDEX(monster!$I$2:$I$617,MATCH(C1037,monster!$A$2:$A$617,0))</f>
        <v>1.56</v>
      </c>
      <c r="G1037" s="15" t="b">
        <f t="shared" si="58"/>
        <v>1</v>
      </c>
      <c r="H1037" s="31">
        <v>1</v>
      </c>
      <c r="I1037" s="15">
        <f>IF(H1037&gt;0,HLOOKUP(R1037/100,数值规划表!$B$37:$AA$39,3),1)</f>
        <v>1</v>
      </c>
      <c r="J1037" s="31" t="s">
        <v>1625</v>
      </c>
      <c r="K1037" s="15">
        <f>INDEX(数值规划表!$B$15:$B$18,MATCH(J1037,攻击范围,0))</f>
        <v>1</v>
      </c>
      <c r="L1037" s="30">
        <v>1</v>
      </c>
      <c r="M1037" s="41">
        <v>0</v>
      </c>
      <c r="N1037" s="15">
        <f t="shared" si="56"/>
        <v>52</v>
      </c>
      <c r="O1037" s="15">
        <f t="shared" si="57"/>
        <v>1.56</v>
      </c>
      <c r="P1037" s="15">
        <f>IF(G1037,INDEX(monster!$J$2:$J$606,MATCH(skill!C1037,monster!$A$2:$A$606,0)),Q1037)</f>
        <v>1.2</v>
      </c>
      <c r="Q1037" s="70"/>
      <c r="R1037" s="33">
        <v>100</v>
      </c>
    </row>
    <row r="1038" spans="1:18" s="38" customFormat="1" x14ac:dyDescent="0.15">
      <c r="A1038" s="32">
        <v>11104</v>
      </c>
      <c r="B1038" s="32" t="s">
        <v>1595</v>
      </c>
      <c r="C1038" s="31">
        <v>1508</v>
      </c>
      <c r="D1038" s="32">
        <v>2</v>
      </c>
      <c r="E1038" s="15">
        <f>INDEX(monster!$H$2:$H$617,MATCH(skill!C1038,monster!$A$2:$A$617,0))</f>
        <v>58.4</v>
      </c>
      <c r="F1038" s="15">
        <f>INDEX(monster!$I$2:$I$617,MATCH(C1038,monster!$A$2:$A$617,0))</f>
        <v>1.75</v>
      </c>
      <c r="G1038" s="15" t="b">
        <f t="shared" si="58"/>
        <v>1</v>
      </c>
      <c r="H1038" s="31">
        <v>1</v>
      </c>
      <c r="I1038" s="15">
        <f>IF(H1038&gt;0,HLOOKUP(R1038/100,数值规划表!$B$37:$AA$39,3),1)</f>
        <v>1</v>
      </c>
      <c r="J1038" s="31" t="s">
        <v>1625</v>
      </c>
      <c r="K1038" s="15">
        <f>INDEX(数值规划表!$B$15:$B$18,MATCH(J1038,攻击范围,0))</f>
        <v>1</v>
      </c>
      <c r="L1038" s="30">
        <v>1</v>
      </c>
      <c r="M1038" s="41">
        <v>0</v>
      </c>
      <c r="N1038" s="15">
        <f t="shared" si="56"/>
        <v>58</v>
      </c>
      <c r="O1038" s="15">
        <f t="shared" si="57"/>
        <v>1.75</v>
      </c>
      <c r="P1038" s="15">
        <f>IF(G1038,INDEX(monster!$J$2:$J$606,MATCH(skill!C1038,monster!$A$2:$A$606,0)),Q1038)</f>
        <v>1.2</v>
      </c>
      <c r="Q1038" s="70"/>
      <c r="R1038" s="33">
        <v>100</v>
      </c>
    </row>
    <row r="1039" spans="1:18" s="38" customFormat="1" x14ac:dyDescent="0.15">
      <c r="A1039" s="32">
        <v>11105</v>
      </c>
      <c r="B1039" s="32" t="s">
        <v>1596</v>
      </c>
      <c r="C1039" s="31">
        <v>1509</v>
      </c>
      <c r="D1039" s="32">
        <v>3</v>
      </c>
      <c r="E1039" s="15">
        <f>INDEX(monster!$H$2:$H$617,MATCH(skill!C1039,monster!$A$2:$A$617,0))</f>
        <v>65.41</v>
      </c>
      <c r="F1039" s="15">
        <f>INDEX(monster!$I$2:$I$617,MATCH(C1039,monster!$A$2:$A$617,0))</f>
        <v>1.96</v>
      </c>
      <c r="G1039" s="15" t="b">
        <f t="shared" si="58"/>
        <v>1</v>
      </c>
      <c r="H1039" s="31">
        <v>1</v>
      </c>
      <c r="I1039" s="15">
        <f>IF(H1039&gt;0,HLOOKUP(R1039/100,数值规划表!$B$37:$AA$39,3),1)</f>
        <v>1</v>
      </c>
      <c r="J1039" s="31" t="s">
        <v>1625</v>
      </c>
      <c r="K1039" s="15">
        <f>INDEX(数值规划表!$B$15:$B$18,MATCH(J1039,攻击范围,0))</f>
        <v>1</v>
      </c>
      <c r="L1039" s="30">
        <v>1</v>
      </c>
      <c r="M1039" s="41">
        <v>0</v>
      </c>
      <c r="N1039" s="15">
        <f t="shared" si="56"/>
        <v>65</v>
      </c>
      <c r="O1039" s="15">
        <f t="shared" si="57"/>
        <v>1.96</v>
      </c>
      <c r="P1039" s="15">
        <f>IF(G1039,INDEX(monster!$J$2:$J$606,MATCH(skill!C1039,monster!$A$2:$A$606,0)),Q1039)</f>
        <v>1.2</v>
      </c>
      <c r="Q1039" s="70"/>
      <c r="R1039" s="33">
        <v>100</v>
      </c>
    </row>
    <row r="1040" spans="1:18" s="38" customFormat="1" x14ac:dyDescent="0.15">
      <c r="A1040" s="32">
        <v>11106</v>
      </c>
      <c r="B1040" s="32" t="s">
        <v>1597</v>
      </c>
      <c r="C1040" s="31">
        <v>1510</v>
      </c>
      <c r="D1040" s="32">
        <v>4</v>
      </c>
      <c r="E1040" s="15">
        <f>INDEX(monster!$H$2:$H$617,MATCH(skill!C1040,monster!$A$2:$A$617,0))</f>
        <v>73.260000000000005</v>
      </c>
      <c r="F1040" s="15">
        <f>INDEX(monster!$I$2:$I$617,MATCH(C1040,monster!$A$2:$A$617,0))</f>
        <v>2.2000000000000002</v>
      </c>
      <c r="G1040" s="15" t="b">
        <f t="shared" si="58"/>
        <v>1</v>
      </c>
      <c r="H1040" s="31">
        <v>1</v>
      </c>
      <c r="I1040" s="15">
        <f>IF(H1040&gt;0,HLOOKUP(R1040/100,数值规划表!$B$37:$AA$39,3),1)</f>
        <v>1</v>
      </c>
      <c r="J1040" s="31" t="s">
        <v>1625</v>
      </c>
      <c r="K1040" s="15">
        <f>INDEX(数值规划表!$B$15:$B$18,MATCH(J1040,攻击范围,0))</f>
        <v>1</v>
      </c>
      <c r="L1040" s="30">
        <v>1</v>
      </c>
      <c r="M1040" s="41">
        <v>0</v>
      </c>
      <c r="N1040" s="15">
        <f t="shared" si="56"/>
        <v>73</v>
      </c>
      <c r="O1040" s="15">
        <f t="shared" si="57"/>
        <v>2.2000000000000002</v>
      </c>
      <c r="P1040" s="15">
        <f>IF(G1040,INDEX(monster!$J$2:$J$606,MATCH(skill!C1040,monster!$A$2:$A$606,0)),Q1040)</f>
        <v>1.2</v>
      </c>
      <c r="Q1040" s="70"/>
      <c r="R1040" s="33">
        <v>100</v>
      </c>
    </row>
    <row r="1041" spans="1:18" s="38" customFormat="1" x14ac:dyDescent="0.15">
      <c r="A1041" s="32">
        <v>11107</v>
      </c>
      <c r="B1041" s="32" t="s">
        <v>1598</v>
      </c>
      <c r="C1041" s="31">
        <v>1511</v>
      </c>
      <c r="D1041" s="32">
        <v>5</v>
      </c>
      <c r="E1041" s="15">
        <f>INDEX(monster!$H$2:$H$617,MATCH(skill!C1041,monster!$A$2:$A$617,0))</f>
        <v>82.05</v>
      </c>
      <c r="F1041" s="15">
        <f>INDEX(monster!$I$2:$I$617,MATCH(C1041,monster!$A$2:$A$617,0))</f>
        <v>2.46</v>
      </c>
      <c r="G1041" s="15" t="b">
        <f t="shared" si="58"/>
        <v>1</v>
      </c>
      <c r="H1041" s="31">
        <v>1</v>
      </c>
      <c r="I1041" s="15">
        <f>IF(H1041&gt;0,HLOOKUP(R1041/100,数值规划表!$B$37:$AA$39,3),1)</f>
        <v>1</v>
      </c>
      <c r="J1041" s="31" t="s">
        <v>1625</v>
      </c>
      <c r="K1041" s="15">
        <f>INDEX(数值规划表!$B$15:$B$18,MATCH(J1041,攻击范围,0))</f>
        <v>1</v>
      </c>
      <c r="L1041" s="30">
        <v>1</v>
      </c>
      <c r="M1041" s="41">
        <v>0</v>
      </c>
      <c r="N1041" s="15">
        <f t="shared" si="56"/>
        <v>82</v>
      </c>
      <c r="O1041" s="15">
        <f t="shared" si="57"/>
        <v>2.46</v>
      </c>
      <c r="P1041" s="15">
        <f>IF(G1041,INDEX(monster!$J$2:$J$606,MATCH(skill!C1041,monster!$A$2:$A$606,0)),Q1041)</f>
        <v>1.2</v>
      </c>
      <c r="Q1041" s="70"/>
      <c r="R1041" s="33">
        <v>100</v>
      </c>
    </row>
    <row r="1042" spans="1:18" s="38" customFormat="1" x14ac:dyDescent="0.15">
      <c r="A1042" s="32">
        <v>11108</v>
      </c>
      <c r="B1042" s="32" t="s">
        <v>1599</v>
      </c>
      <c r="C1042" s="31">
        <v>1512</v>
      </c>
      <c r="D1042" s="32">
        <v>6</v>
      </c>
      <c r="E1042" s="15">
        <f>INDEX(monster!$H$2:$H$617,MATCH(skill!C1042,monster!$A$2:$A$617,0))</f>
        <v>91.9</v>
      </c>
      <c r="F1042" s="15">
        <f>INDEX(monster!$I$2:$I$617,MATCH(C1042,monster!$A$2:$A$617,0))</f>
        <v>2.76</v>
      </c>
      <c r="G1042" s="15" t="b">
        <f t="shared" si="58"/>
        <v>1</v>
      </c>
      <c r="H1042" s="31">
        <v>1</v>
      </c>
      <c r="I1042" s="15">
        <f>IF(H1042&gt;0,HLOOKUP(R1042/100,数值规划表!$B$37:$AA$39,3),1)</f>
        <v>1</v>
      </c>
      <c r="J1042" s="31" t="s">
        <v>1625</v>
      </c>
      <c r="K1042" s="15">
        <f>INDEX(数值规划表!$B$15:$B$18,MATCH(J1042,攻击范围,0))</f>
        <v>1</v>
      </c>
      <c r="L1042" s="30">
        <v>1</v>
      </c>
      <c r="M1042" s="41">
        <v>0</v>
      </c>
      <c r="N1042" s="15">
        <f t="shared" si="56"/>
        <v>92</v>
      </c>
      <c r="O1042" s="15">
        <f t="shared" si="57"/>
        <v>2.76</v>
      </c>
      <c r="P1042" s="15">
        <f>IF(G1042,INDEX(monster!$J$2:$J$606,MATCH(skill!C1042,monster!$A$2:$A$606,0)),Q1042)</f>
        <v>1.2</v>
      </c>
      <c r="Q1042" s="70"/>
      <c r="R1042" s="33">
        <v>100</v>
      </c>
    </row>
    <row r="1043" spans="1:18" s="38" customFormat="1" x14ac:dyDescent="0.15">
      <c r="A1043" s="32">
        <v>11109</v>
      </c>
      <c r="B1043" s="32" t="s">
        <v>1600</v>
      </c>
      <c r="C1043" s="31">
        <v>1513</v>
      </c>
      <c r="D1043" s="32">
        <v>7</v>
      </c>
      <c r="E1043" s="15">
        <f>INDEX(monster!$H$2:$H$617,MATCH(skill!C1043,monster!$A$2:$A$617,0))</f>
        <v>102.93</v>
      </c>
      <c r="F1043" s="15">
        <f>INDEX(monster!$I$2:$I$617,MATCH(C1043,monster!$A$2:$A$617,0))</f>
        <v>3.09</v>
      </c>
      <c r="G1043" s="15" t="b">
        <f t="shared" si="58"/>
        <v>1</v>
      </c>
      <c r="H1043" s="31">
        <v>1</v>
      </c>
      <c r="I1043" s="15">
        <f>IF(H1043&gt;0,HLOOKUP(R1043/100,数值规划表!$B$37:$AA$39,3),1)</f>
        <v>1</v>
      </c>
      <c r="J1043" s="31" t="s">
        <v>1625</v>
      </c>
      <c r="K1043" s="15">
        <f>INDEX(数值规划表!$B$15:$B$18,MATCH(J1043,攻击范围,0))</f>
        <v>1</v>
      </c>
      <c r="L1043" s="30">
        <v>1</v>
      </c>
      <c r="M1043" s="41">
        <v>0</v>
      </c>
      <c r="N1043" s="15">
        <f t="shared" si="56"/>
        <v>103</v>
      </c>
      <c r="O1043" s="15">
        <f t="shared" si="57"/>
        <v>3.09</v>
      </c>
      <c r="P1043" s="15">
        <f>IF(G1043,INDEX(monster!$J$2:$J$606,MATCH(skill!C1043,monster!$A$2:$A$606,0)),Q1043)</f>
        <v>1.2</v>
      </c>
      <c r="Q1043" s="70"/>
      <c r="R1043" s="33">
        <v>100</v>
      </c>
    </row>
    <row r="1044" spans="1:18" s="38" customFormat="1" x14ac:dyDescent="0.15">
      <c r="A1044" s="32">
        <v>11110</v>
      </c>
      <c r="B1044" s="32" t="s">
        <v>1601</v>
      </c>
      <c r="C1044" s="31">
        <v>1514</v>
      </c>
      <c r="D1044" s="32">
        <v>8</v>
      </c>
      <c r="E1044" s="15">
        <f>INDEX(monster!$H$2:$H$617,MATCH(skill!C1044,monster!$A$2:$A$617,0))</f>
        <v>115.28</v>
      </c>
      <c r="F1044" s="15">
        <f>INDEX(monster!$I$2:$I$617,MATCH(C1044,monster!$A$2:$A$617,0))</f>
        <v>3.46</v>
      </c>
      <c r="G1044" s="15" t="b">
        <f t="shared" si="58"/>
        <v>1</v>
      </c>
      <c r="H1044" s="31">
        <v>1</v>
      </c>
      <c r="I1044" s="15">
        <f>IF(H1044&gt;0,HLOOKUP(R1044/100,数值规划表!$B$37:$AA$39,3),1)</f>
        <v>1</v>
      </c>
      <c r="J1044" s="31" t="s">
        <v>1625</v>
      </c>
      <c r="K1044" s="15">
        <f>INDEX(数值规划表!$B$15:$B$18,MATCH(J1044,攻击范围,0))</f>
        <v>1</v>
      </c>
      <c r="L1044" s="30">
        <v>1</v>
      </c>
      <c r="M1044" s="41">
        <v>0</v>
      </c>
      <c r="N1044" s="15">
        <f t="shared" si="56"/>
        <v>115</v>
      </c>
      <c r="O1044" s="15">
        <f t="shared" si="57"/>
        <v>3.46</v>
      </c>
      <c r="P1044" s="15">
        <f>IF(G1044,INDEX(monster!$J$2:$J$606,MATCH(skill!C1044,monster!$A$2:$A$606,0)),Q1044)</f>
        <v>1.2</v>
      </c>
      <c r="Q1044" s="70"/>
      <c r="R1044" s="33">
        <v>100</v>
      </c>
    </row>
    <row r="1045" spans="1:18" s="38" customFormat="1" x14ac:dyDescent="0.15">
      <c r="A1045" s="32">
        <v>11111</v>
      </c>
      <c r="B1045" s="32" t="s">
        <v>1602</v>
      </c>
      <c r="C1045" s="31">
        <v>1515</v>
      </c>
      <c r="D1045" s="32">
        <v>9</v>
      </c>
      <c r="E1045" s="15">
        <f>INDEX(monster!$H$2:$H$617,MATCH(skill!C1045,monster!$A$2:$A$617,0))</f>
        <v>129.11000000000001</v>
      </c>
      <c r="F1045" s="15">
        <f>INDEX(monster!$I$2:$I$617,MATCH(C1045,monster!$A$2:$A$617,0))</f>
        <v>3.87</v>
      </c>
      <c r="G1045" s="15" t="b">
        <f t="shared" si="58"/>
        <v>1</v>
      </c>
      <c r="H1045" s="31">
        <v>1</v>
      </c>
      <c r="I1045" s="15">
        <f>IF(H1045&gt;0,HLOOKUP(R1045/100,数值规划表!$B$37:$AA$39,3),1)</f>
        <v>1</v>
      </c>
      <c r="J1045" s="31" t="s">
        <v>1625</v>
      </c>
      <c r="K1045" s="15">
        <f>INDEX(数值规划表!$B$15:$B$18,MATCH(J1045,攻击范围,0))</f>
        <v>1</v>
      </c>
      <c r="L1045" s="30">
        <v>1</v>
      </c>
      <c r="M1045" s="41">
        <v>0</v>
      </c>
      <c r="N1045" s="15">
        <f t="shared" si="56"/>
        <v>129</v>
      </c>
      <c r="O1045" s="15">
        <f t="shared" si="57"/>
        <v>3.87</v>
      </c>
      <c r="P1045" s="15">
        <f>IF(G1045,INDEX(monster!$J$2:$J$606,MATCH(skill!C1045,monster!$A$2:$A$606,0)),Q1045)</f>
        <v>1.2</v>
      </c>
      <c r="Q1045" s="70"/>
      <c r="R1045" s="33">
        <v>100</v>
      </c>
    </row>
    <row r="1046" spans="1:18" s="38" customFormat="1" x14ac:dyDescent="0.15">
      <c r="A1046" s="32">
        <v>11112</v>
      </c>
      <c r="B1046" s="32" t="s">
        <v>1603</v>
      </c>
      <c r="C1046" s="31">
        <v>1516</v>
      </c>
      <c r="D1046" s="32">
        <v>10</v>
      </c>
      <c r="E1046" s="15">
        <f>INDEX(monster!$H$2:$H$617,MATCH(skill!C1046,monster!$A$2:$A$617,0))</f>
        <v>144.61000000000001</v>
      </c>
      <c r="F1046" s="15">
        <f>INDEX(monster!$I$2:$I$617,MATCH(C1046,monster!$A$2:$A$617,0))</f>
        <v>4.34</v>
      </c>
      <c r="G1046" s="15" t="b">
        <f t="shared" si="58"/>
        <v>1</v>
      </c>
      <c r="H1046" s="31">
        <v>1</v>
      </c>
      <c r="I1046" s="15">
        <f>IF(H1046&gt;0,HLOOKUP(R1046/100,数值规划表!$B$37:$AA$39,3),1)</f>
        <v>1</v>
      </c>
      <c r="J1046" s="31" t="s">
        <v>1625</v>
      </c>
      <c r="K1046" s="15">
        <f>INDEX(数值规划表!$B$15:$B$18,MATCH(J1046,攻击范围,0))</f>
        <v>1</v>
      </c>
      <c r="L1046" s="30">
        <v>1</v>
      </c>
      <c r="M1046" s="41">
        <v>0</v>
      </c>
      <c r="N1046" s="15">
        <f t="shared" si="56"/>
        <v>145</v>
      </c>
      <c r="O1046" s="15">
        <f t="shared" si="57"/>
        <v>4.34</v>
      </c>
      <c r="P1046" s="15">
        <f>IF(G1046,INDEX(monster!$J$2:$J$606,MATCH(skill!C1046,monster!$A$2:$A$606,0)),Q1046)</f>
        <v>1.2</v>
      </c>
      <c r="Q1046" s="70"/>
      <c r="R1046" s="33">
        <v>100</v>
      </c>
    </row>
    <row r="1047" spans="1:18" s="38" customFormat="1" x14ac:dyDescent="0.15">
      <c r="A1047" s="32">
        <v>11113</v>
      </c>
      <c r="B1047" s="32" t="s">
        <v>1741</v>
      </c>
      <c r="C1047" s="31">
        <v>1034</v>
      </c>
      <c r="D1047" s="32">
        <v>0</v>
      </c>
      <c r="E1047" s="15">
        <f>INDEX(monster!$H$2:$H$617,MATCH(skill!C1047,monster!$A$2:$A$617,0))</f>
        <v>29.78</v>
      </c>
      <c r="F1047" s="15">
        <f>INDEX(monster!$I$2:$I$617,MATCH(C1047,monster!$A$2:$A$617,0))</f>
        <v>0.89</v>
      </c>
      <c r="G1047" s="15" t="b">
        <f t="shared" si="58"/>
        <v>0</v>
      </c>
      <c r="H1047" s="31">
        <v>1</v>
      </c>
      <c r="I1047" s="15">
        <f>IF(H1047&gt;0,HLOOKUP(R1047/100,数值规划表!$B$37:$AA$39,3),1)</f>
        <v>5.4</v>
      </c>
      <c r="J1047" s="31" t="s">
        <v>1625</v>
      </c>
      <c r="K1047" s="15">
        <f>INDEX(数值规划表!$B$15:$B$18,MATCH(J1047,攻击范围,0))</f>
        <v>1</v>
      </c>
      <c r="L1047" s="41">
        <v>1</v>
      </c>
      <c r="M1047" s="41">
        <v>0</v>
      </c>
      <c r="N1047" s="15">
        <f t="shared" si="56"/>
        <v>161</v>
      </c>
      <c r="O1047" s="15">
        <f t="shared" si="57"/>
        <v>4.8099999999999996</v>
      </c>
      <c r="P1047" s="15">
        <f>IF(G1047,INDEX(monster!$J$2:$J$606,MATCH(skill!C1047,monster!$A$2:$A$606,0)),Q1047)</f>
        <v>5</v>
      </c>
      <c r="Q1047" s="70">
        <v>5</v>
      </c>
      <c r="R1047" s="40">
        <v>300</v>
      </c>
    </row>
    <row r="1048" spans="1:18" s="38" customFormat="1" x14ac:dyDescent="0.15">
      <c r="A1048" s="32">
        <v>11114</v>
      </c>
      <c r="B1048" s="32" t="s">
        <v>1742</v>
      </c>
      <c r="C1048" s="31">
        <v>1035</v>
      </c>
      <c r="D1048" s="32">
        <v>1</v>
      </c>
      <c r="E1048" s="15">
        <f>INDEX(monster!$H$2:$H$617,MATCH(skill!C1048,monster!$A$2:$A$617,0))</f>
        <v>33.35</v>
      </c>
      <c r="F1048" s="15">
        <f>INDEX(monster!$I$2:$I$617,MATCH(C1048,monster!$A$2:$A$617,0))</f>
        <v>1</v>
      </c>
      <c r="G1048" s="15" t="b">
        <f t="shared" si="58"/>
        <v>0</v>
      </c>
      <c r="H1048" s="31">
        <v>1</v>
      </c>
      <c r="I1048" s="15">
        <f>IF(H1048&gt;0,HLOOKUP(R1048/100,数值规划表!$B$37:$AA$39,3),1)</f>
        <v>5.4</v>
      </c>
      <c r="J1048" s="31" t="s">
        <v>1625</v>
      </c>
      <c r="K1048" s="15">
        <f>INDEX(数值规划表!$B$15:$B$18,MATCH(J1048,攻击范围,0))</f>
        <v>1</v>
      </c>
      <c r="L1048" s="41">
        <v>1</v>
      </c>
      <c r="M1048" s="41">
        <v>0</v>
      </c>
      <c r="N1048" s="15">
        <f t="shared" si="56"/>
        <v>180</v>
      </c>
      <c r="O1048" s="15">
        <f t="shared" si="57"/>
        <v>5.4</v>
      </c>
      <c r="P1048" s="15">
        <f>IF(G1048,INDEX(monster!$J$2:$J$606,MATCH(skill!C1048,monster!$A$2:$A$606,0)),Q1048)</f>
        <v>5</v>
      </c>
      <c r="Q1048" s="70">
        <v>5</v>
      </c>
      <c r="R1048" s="40">
        <v>300</v>
      </c>
    </row>
    <row r="1049" spans="1:18" s="38" customFormat="1" x14ac:dyDescent="0.15">
      <c r="A1049" s="32">
        <v>11115</v>
      </c>
      <c r="B1049" s="32" t="s">
        <v>1743</v>
      </c>
      <c r="C1049" s="31">
        <v>1036</v>
      </c>
      <c r="D1049" s="32">
        <v>2</v>
      </c>
      <c r="E1049" s="15">
        <f>INDEX(monster!$H$2:$H$617,MATCH(skill!C1049,monster!$A$2:$A$617,0))</f>
        <v>37.36</v>
      </c>
      <c r="F1049" s="15">
        <f>INDEX(monster!$I$2:$I$617,MATCH(C1049,monster!$A$2:$A$617,0))</f>
        <v>1.1200000000000001</v>
      </c>
      <c r="G1049" s="15" t="b">
        <f t="shared" si="58"/>
        <v>0</v>
      </c>
      <c r="H1049" s="31">
        <v>1</v>
      </c>
      <c r="I1049" s="15">
        <f>IF(H1049&gt;0,HLOOKUP(R1049/100,数值规划表!$B$37:$AA$39,3),1)</f>
        <v>5.4</v>
      </c>
      <c r="J1049" s="31" t="s">
        <v>1625</v>
      </c>
      <c r="K1049" s="15">
        <f>INDEX(数值规划表!$B$15:$B$18,MATCH(J1049,攻击范围,0))</f>
        <v>1</v>
      </c>
      <c r="L1049" s="41">
        <v>1</v>
      </c>
      <c r="M1049" s="41">
        <v>0</v>
      </c>
      <c r="N1049" s="15">
        <f t="shared" si="56"/>
        <v>202</v>
      </c>
      <c r="O1049" s="15">
        <f t="shared" si="57"/>
        <v>6.05</v>
      </c>
      <c r="P1049" s="15">
        <f>IF(G1049,INDEX(monster!$J$2:$J$606,MATCH(skill!C1049,monster!$A$2:$A$606,0)),Q1049)</f>
        <v>5</v>
      </c>
      <c r="Q1049" s="70">
        <v>5</v>
      </c>
      <c r="R1049" s="40">
        <v>300</v>
      </c>
    </row>
    <row r="1050" spans="1:18" s="38" customFormat="1" x14ac:dyDescent="0.15">
      <c r="A1050" s="32">
        <v>11116</v>
      </c>
      <c r="B1050" s="32" t="s">
        <v>1744</v>
      </c>
      <c r="C1050" s="31">
        <v>1037</v>
      </c>
      <c r="D1050" s="32">
        <v>3</v>
      </c>
      <c r="E1050" s="15">
        <f>INDEX(monster!$H$2:$H$617,MATCH(skill!C1050,monster!$A$2:$A$617,0))</f>
        <v>41.84</v>
      </c>
      <c r="F1050" s="15">
        <f>INDEX(monster!$I$2:$I$617,MATCH(C1050,monster!$A$2:$A$617,0))</f>
        <v>1.26</v>
      </c>
      <c r="G1050" s="15" t="b">
        <f t="shared" si="58"/>
        <v>0</v>
      </c>
      <c r="H1050" s="31">
        <v>1</v>
      </c>
      <c r="I1050" s="15">
        <f>IF(H1050&gt;0,HLOOKUP(R1050/100,数值规划表!$B$37:$AA$39,3),1)</f>
        <v>5.4</v>
      </c>
      <c r="J1050" s="31" t="s">
        <v>1625</v>
      </c>
      <c r="K1050" s="15">
        <f>INDEX(数值规划表!$B$15:$B$18,MATCH(J1050,攻击范围,0))</f>
        <v>1</v>
      </c>
      <c r="L1050" s="41">
        <v>1</v>
      </c>
      <c r="M1050" s="41">
        <v>0</v>
      </c>
      <c r="N1050" s="15">
        <f t="shared" si="56"/>
        <v>226</v>
      </c>
      <c r="O1050" s="15">
        <f t="shared" si="57"/>
        <v>6.8</v>
      </c>
      <c r="P1050" s="15">
        <f>IF(G1050,INDEX(monster!$J$2:$J$606,MATCH(skill!C1050,monster!$A$2:$A$606,0)),Q1050)</f>
        <v>5</v>
      </c>
      <c r="Q1050" s="70">
        <v>5</v>
      </c>
      <c r="R1050" s="40">
        <v>300</v>
      </c>
    </row>
    <row r="1051" spans="1:18" s="38" customFormat="1" x14ac:dyDescent="0.15">
      <c r="A1051" s="32">
        <v>11117</v>
      </c>
      <c r="B1051" s="32" t="s">
        <v>1745</v>
      </c>
      <c r="C1051" s="31">
        <v>1038</v>
      </c>
      <c r="D1051" s="32">
        <v>4</v>
      </c>
      <c r="E1051" s="15">
        <f>INDEX(monster!$H$2:$H$617,MATCH(skill!C1051,monster!$A$2:$A$617,0))</f>
        <v>46.86</v>
      </c>
      <c r="F1051" s="15">
        <f>INDEX(monster!$I$2:$I$617,MATCH(C1051,monster!$A$2:$A$617,0))</f>
        <v>1.41</v>
      </c>
      <c r="G1051" s="15" t="b">
        <f t="shared" si="58"/>
        <v>0</v>
      </c>
      <c r="H1051" s="31">
        <v>1</v>
      </c>
      <c r="I1051" s="15">
        <f>IF(H1051&gt;0,HLOOKUP(R1051/100,数值规划表!$B$37:$AA$39,3),1)</f>
        <v>5.4</v>
      </c>
      <c r="J1051" s="31" t="s">
        <v>1625</v>
      </c>
      <c r="K1051" s="15">
        <f>INDEX(数值规划表!$B$15:$B$18,MATCH(J1051,攻击范围,0))</f>
        <v>1</v>
      </c>
      <c r="L1051" s="41">
        <v>1</v>
      </c>
      <c r="M1051" s="41">
        <v>0</v>
      </c>
      <c r="N1051" s="15">
        <f t="shared" si="56"/>
        <v>253</v>
      </c>
      <c r="O1051" s="15">
        <f t="shared" si="57"/>
        <v>7.61</v>
      </c>
      <c r="P1051" s="15">
        <f>IF(G1051,INDEX(monster!$J$2:$J$606,MATCH(skill!C1051,monster!$A$2:$A$606,0)),Q1051)</f>
        <v>5</v>
      </c>
      <c r="Q1051" s="70">
        <v>5</v>
      </c>
      <c r="R1051" s="40">
        <v>300</v>
      </c>
    </row>
    <row r="1052" spans="1:18" s="38" customFormat="1" x14ac:dyDescent="0.15">
      <c r="A1052" s="32">
        <v>11118</v>
      </c>
      <c r="B1052" s="32" t="s">
        <v>1746</v>
      </c>
      <c r="C1052" s="31">
        <v>1039</v>
      </c>
      <c r="D1052" s="32">
        <v>5</v>
      </c>
      <c r="E1052" s="15">
        <f>INDEX(monster!$H$2:$H$617,MATCH(skill!C1052,monster!$A$2:$A$617,0))</f>
        <v>52.48</v>
      </c>
      <c r="F1052" s="15">
        <f>INDEX(monster!$I$2:$I$617,MATCH(C1052,monster!$A$2:$A$617,0))</f>
        <v>1.57</v>
      </c>
      <c r="G1052" s="15" t="b">
        <f t="shared" si="58"/>
        <v>0</v>
      </c>
      <c r="H1052" s="31">
        <v>1</v>
      </c>
      <c r="I1052" s="15">
        <f>IF(H1052&gt;0,HLOOKUP(R1052/100,数值规划表!$B$37:$AA$39,3),1)</f>
        <v>5.4</v>
      </c>
      <c r="J1052" s="31" t="s">
        <v>1625</v>
      </c>
      <c r="K1052" s="15">
        <f>INDEX(数值规划表!$B$15:$B$18,MATCH(J1052,攻击范围,0))</f>
        <v>1</v>
      </c>
      <c r="L1052" s="41">
        <v>1</v>
      </c>
      <c r="M1052" s="41">
        <v>0</v>
      </c>
      <c r="N1052" s="15">
        <f t="shared" si="56"/>
        <v>283</v>
      </c>
      <c r="O1052" s="15">
        <f t="shared" si="57"/>
        <v>8.48</v>
      </c>
      <c r="P1052" s="15">
        <f>IF(G1052,INDEX(monster!$J$2:$J$606,MATCH(skill!C1052,monster!$A$2:$A$606,0)),Q1052)</f>
        <v>5</v>
      </c>
      <c r="Q1052" s="70">
        <v>5</v>
      </c>
      <c r="R1052" s="40">
        <v>300</v>
      </c>
    </row>
    <row r="1053" spans="1:18" s="38" customFormat="1" x14ac:dyDescent="0.15">
      <c r="A1053" s="32">
        <v>11119</v>
      </c>
      <c r="B1053" s="32" t="s">
        <v>1747</v>
      </c>
      <c r="C1053" s="31">
        <v>1040</v>
      </c>
      <c r="D1053" s="32">
        <v>6</v>
      </c>
      <c r="E1053" s="15">
        <f>INDEX(monster!$H$2:$H$617,MATCH(skill!C1053,monster!$A$2:$A$617,0))</f>
        <v>58.78</v>
      </c>
      <c r="F1053" s="15">
        <f>INDEX(monster!$I$2:$I$617,MATCH(C1053,monster!$A$2:$A$617,0))</f>
        <v>1.76</v>
      </c>
      <c r="G1053" s="15" t="b">
        <f t="shared" si="58"/>
        <v>0</v>
      </c>
      <c r="H1053" s="31">
        <v>1</v>
      </c>
      <c r="I1053" s="15">
        <f>IF(H1053&gt;0,HLOOKUP(R1053/100,数值规划表!$B$37:$AA$39,3),1)</f>
        <v>5.4</v>
      </c>
      <c r="J1053" s="31" t="s">
        <v>1625</v>
      </c>
      <c r="K1053" s="15">
        <f>INDEX(数值规划表!$B$15:$B$18,MATCH(J1053,攻击范围,0))</f>
        <v>1</v>
      </c>
      <c r="L1053" s="41">
        <v>1</v>
      </c>
      <c r="M1053" s="41">
        <v>0</v>
      </c>
      <c r="N1053" s="15">
        <f t="shared" si="56"/>
        <v>317</v>
      </c>
      <c r="O1053" s="15">
        <f t="shared" si="57"/>
        <v>9.5</v>
      </c>
      <c r="P1053" s="15">
        <f>IF(G1053,INDEX(monster!$J$2:$J$606,MATCH(skill!C1053,monster!$A$2:$A$606,0)),Q1053)</f>
        <v>5</v>
      </c>
      <c r="Q1053" s="70">
        <v>5</v>
      </c>
      <c r="R1053" s="40">
        <v>300</v>
      </c>
    </row>
    <row r="1054" spans="1:18" s="38" customFormat="1" x14ac:dyDescent="0.15">
      <c r="A1054" s="32">
        <v>11120</v>
      </c>
      <c r="B1054" s="32" t="s">
        <v>1748</v>
      </c>
      <c r="C1054" s="31">
        <v>1041</v>
      </c>
      <c r="D1054" s="32">
        <v>7</v>
      </c>
      <c r="E1054" s="15">
        <f>INDEX(monster!$H$2:$H$617,MATCH(skill!C1054,monster!$A$2:$A$617,0))</f>
        <v>65.83</v>
      </c>
      <c r="F1054" s="15">
        <f>INDEX(monster!$I$2:$I$617,MATCH(C1054,monster!$A$2:$A$617,0))</f>
        <v>1.98</v>
      </c>
      <c r="G1054" s="15" t="b">
        <f t="shared" si="58"/>
        <v>0</v>
      </c>
      <c r="H1054" s="31">
        <v>1</v>
      </c>
      <c r="I1054" s="15">
        <f>IF(H1054&gt;0,HLOOKUP(R1054/100,数值规划表!$B$37:$AA$39,3),1)</f>
        <v>5.4</v>
      </c>
      <c r="J1054" s="31" t="s">
        <v>1625</v>
      </c>
      <c r="K1054" s="15">
        <f>INDEX(数值规划表!$B$15:$B$18,MATCH(J1054,攻击范围,0))</f>
        <v>1</v>
      </c>
      <c r="L1054" s="41">
        <v>1</v>
      </c>
      <c r="M1054" s="41">
        <v>0</v>
      </c>
      <c r="N1054" s="15">
        <f t="shared" si="56"/>
        <v>355</v>
      </c>
      <c r="O1054" s="15">
        <f t="shared" si="57"/>
        <v>10.69</v>
      </c>
      <c r="P1054" s="15">
        <f>IF(G1054,INDEX(monster!$J$2:$J$606,MATCH(skill!C1054,monster!$A$2:$A$606,0)),Q1054)</f>
        <v>5</v>
      </c>
      <c r="Q1054" s="70">
        <v>5</v>
      </c>
      <c r="R1054" s="40">
        <v>300</v>
      </c>
    </row>
    <row r="1055" spans="1:18" s="38" customFormat="1" x14ac:dyDescent="0.15">
      <c r="A1055" s="32">
        <v>11121</v>
      </c>
      <c r="B1055" s="32" t="s">
        <v>1749</v>
      </c>
      <c r="C1055" s="31">
        <v>1042</v>
      </c>
      <c r="D1055" s="32">
        <v>8</v>
      </c>
      <c r="E1055" s="15">
        <f>INDEX(monster!$H$2:$H$617,MATCH(skill!C1055,monster!$A$2:$A$617,0))</f>
        <v>73.73</v>
      </c>
      <c r="F1055" s="15">
        <f>INDEX(monster!$I$2:$I$617,MATCH(C1055,monster!$A$2:$A$617,0))</f>
        <v>2.21</v>
      </c>
      <c r="G1055" s="15" t="b">
        <f t="shared" si="58"/>
        <v>0</v>
      </c>
      <c r="H1055" s="31">
        <v>1</v>
      </c>
      <c r="I1055" s="15">
        <f>IF(H1055&gt;0,HLOOKUP(R1055/100,数值规划表!$B$37:$AA$39,3),1)</f>
        <v>5.4</v>
      </c>
      <c r="J1055" s="31" t="s">
        <v>1625</v>
      </c>
      <c r="K1055" s="15">
        <f>INDEX(数值规划表!$B$15:$B$18,MATCH(J1055,攻击范围,0))</f>
        <v>1</v>
      </c>
      <c r="L1055" s="41">
        <v>1</v>
      </c>
      <c r="M1055" s="41">
        <v>0</v>
      </c>
      <c r="N1055" s="15">
        <f t="shared" si="56"/>
        <v>398</v>
      </c>
      <c r="O1055" s="15">
        <f t="shared" si="57"/>
        <v>11.93</v>
      </c>
      <c r="P1055" s="15">
        <f>IF(G1055,INDEX(monster!$J$2:$J$606,MATCH(skill!C1055,monster!$A$2:$A$606,0)),Q1055)</f>
        <v>5</v>
      </c>
      <c r="Q1055" s="70">
        <v>5</v>
      </c>
      <c r="R1055" s="40">
        <v>300</v>
      </c>
    </row>
    <row r="1056" spans="1:18" s="38" customFormat="1" x14ac:dyDescent="0.15">
      <c r="A1056" s="32">
        <v>11122</v>
      </c>
      <c r="B1056" s="32" t="s">
        <v>1750</v>
      </c>
      <c r="C1056" s="31">
        <v>1043</v>
      </c>
      <c r="D1056" s="32">
        <v>9</v>
      </c>
      <c r="E1056" s="15">
        <f>INDEX(monster!$H$2:$H$617,MATCH(skill!C1056,monster!$A$2:$A$617,0))</f>
        <v>82.58</v>
      </c>
      <c r="F1056" s="15">
        <f>INDEX(monster!$I$2:$I$617,MATCH(C1056,monster!$A$2:$A$617,0))</f>
        <v>2.48</v>
      </c>
      <c r="G1056" s="15" t="b">
        <f t="shared" si="58"/>
        <v>0</v>
      </c>
      <c r="H1056" s="31">
        <v>1</v>
      </c>
      <c r="I1056" s="15">
        <f>IF(H1056&gt;0,HLOOKUP(R1056/100,数值规划表!$B$37:$AA$39,3),1)</f>
        <v>5.4</v>
      </c>
      <c r="J1056" s="31" t="s">
        <v>1625</v>
      </c>
      <c r="K1056" s="15">
        <f>INDEX(数值规划表!$B$15:$B$18,MATCH(J1056,攻击范围,0))</f>
        <v>1</v>
      </c>
      <c r="L1056" s="41">
        <v>1</v>
      </c>
      <c r="M1056" s="41">
        <v>0</v>
      </c>
      <c r="N1056" s="15">
        <f t="shared" si="56"/>
        <v>446</v>
      </c>
      <c r="O1056" s="15">
        <f t="shared" si="57"/>
        <v>13.39</v>
      </c>
      <c r="P1056" s="15">
        <f>IF(G1056,INDEX(monster!$J$2:$J$606,MATCH(skill!C1056,monster!$A$2:$A$606,0)),Q1056)</f>
        <v>5</v>
      </c>
      <c r="Q1056" s="70">
        <v>5</v>
      </c>
      <c r="R1056" s="40">
        <v>300</v>
      </c>
    </row>
    <row r="1057" spans="1:18" s="38" customFormat="1" x14ac:dyDescent="0.15">
      <c r="A1057" s="32">
        <v>11123</v>
      </c>
      <c r="B1057" s="32" t="s">
        <v>1751</v>
      </c>
      <c r="C1057" s="31">
        <v>1044</v>
      </c>
      <c r="D1057" s="32">
        <v>10</v>
      </c>
      <c r="E1057" s="15">
        <f>INDEX(monster!$H$2:$H$617,MATCH(skill!C1057,monster!$A$2:$A$617,0))</f>
        <v>92.49</v>
      </c>
      <c r="F1057" s="15">
        <f>INDEX(monster!$I$2:$I$617,MATCH(C1057,monster!$A$2:$A$617,0))</f>
        <v>2.77</v>
      </c>
      <c r="G1057" s="15" t="b">
        <f t="shared" si="58"/>
        <v>0</v>
      </c>
      <c r="H1057" s="31">
        <v>1</v>
      </c>
      <c r="I1057" s="15">
        <f>IF(H1057&gt;0,HLOOKUP(R1057/100,数值规划表!$B$37:$AA$39,3),1)</f>
        <v>5.4</v>
      </c>
      <c r="J1057" s="31" t="s">
        <v>1625</v>
      </c>
      <c r="K1057" s="15">
        <f>INDEX(数值规划表!$B$15:$B$18,MATCH(J1057,攻击范围,0))</f>
        <v>1</v>
      </c>
      <c r="L1057" s="41">
        <v>1</v>
      </c>
      <c r="M1057" s="41">
        <v>0</v>
      </c>
      <c r="N1057" s="15">
        <f t="shared" si="56"/>
        <v>499</v>
      </c>
      <c r="O1057" s="15">
        <f t="shared" si="57"/>
        <v>14.96</v>
      </c>
      <c r="P1057" s="15">
        <f>IF(G1057,INDEX(monster!$J$2:$J$606,MATCH(skill!C1057,monster!$A$2:$A$606,0)),Q1057)</f>
        <v>5</v>
      </c>
      <c r="Q1057" s="70">
        <v>5</v>
      </c>
      <c r="R1057" s="40">
        <v>300</v>
      </c>
    </row>
    <row r="1058" spans="1:18" s="38" customFormat="1" x14ac:dyDescent="0.15">
      <c r="A1058" s="32">
        <v>11124</v>
      </c>
      <c r="B1058" s="32" t="s">
        <v>1913</v>
      </c>
      <c r="C1058" s="31">
        <v>1261</v>
      </c>
      <c r="D1058" s="32">
        <v>0</v>
      </c>
      <c r="E1058" s="15">
        <f>INDEX(monster!$H$2:$H$617,MATCH(skill!C1058,monster!$A$2:$A$617,0))</f>
        <v>76.37</v>
      </c>
      <c r="F1058" s="15">
        <f>INDEX(monster!$I$2:$I$617,MATCH(C1058,monster!$A$2:$A$617,0))</f>
        <v>2.29</v>
      </c>
      <c r="G1058" s="15" t="b">
        <f t="shared" si="58"/>
        <v>0</v>
      </c>
      <c r="H1058" s="31">
        <v>0</v>
      </c>
      <c r="I1058" s="15">
        <f>IF(H1058&gt;0,HLOOKUP(R1058/100,数值规划表!$B$37:$AA$39,3),1)</f>
        <v>1</v>
      </c>
      <c r="J1058" s="31" t="s">
        <v>1628</v>
      </c>
      <c r="K1058" s="15">
        <f>INDEX(数值规划表!$B$15:$B$18,MATCH(J1058,攻击范围,0))</f>
        <v>0.5</v>
      </c>
      <c r="L1058" s="51">
        <v>3</v>
      </c>
      <c r="M1058" s="51">
        <v>0</v>
      </c>
      <c r="N1058" s="15">
        <f t="shared" si="56"/>
        <v>115</v>
      </c>
      <c r="O1058" s="15">
        <f t="shared" si="57"/>
        <v>3.44</v>
      </c>
      <c r="P1058" s="15">
        <f>IF(G1058,INDEX(monster!$J$2:$J$606,MATCH(skill!C1058,monster!$A$2:$A$606,0)),Q1058)</f>
        <v>0</v>
      </c>
      <c r="Q1058" s="70"/>
      <c r="R1058" s="52">
        <v>100</v>
      </c>
    </row>
    <row r="1059" spans="1:18" s="38" customFormat="1" x14ac:dyDescent="0.15">
      <c r="A1059" s="32">
        <v>11125</v>
      </c>
      <c r="B1059" s="32" t="s">
        <v>1914</v>
      </c>
      <c r="C1059" s="31">
        <v>1262</v>
      </c>
      <c r="D1059" s="32">
        <v>1</v>
      </c>
      <c r="E1059" s="15">
        <f>INDEX(monster!$H$2:$H$617,MATCH(skill!C1059,monster!$A$2:$A$617,0))</f>
        <v>85.53</v>
      </c>
      <c r="F1059" s="15">
        <f>INDEX(monster!$I$2:$I$617,MATCH(C1059,monster!$A$2:$A$617,0))</f>
        <v>2.57</v>
      </c>
      <c r="G1059" s="15" t="b">
        <f t="shared" si="58"/>
        <v>0</v>
      </c>
      <c r="H1059" s="31">
        <v>0</v>
      </c>
      <c r="I1059" s="15">
        <f>IF(H1059&gt;0,HLOOKUP(R1059/100,数值规划表!$B$37:$AA$39,3),1)</f>
        <v>1</v>
      </c>
      <c r="J1059" s="31" t="s">
        <v>1628</v>
      </c>
      <c r="K1059" s="15">
        <f>INDEX(数值规划表!$B$15:$B$18,MATCH(J1059,攻击范围,0))</f>
        <v>0.5</v>
      </c>
      <c r="L1059" s="70">
        <v>3</v>
      </c>
      <c r="M1059" s="51">
        <v>0</v>
      </c>
      <c r="N1059" s="15">
        <f t="shared" si="56"/>
        <v>128</v>
      </c>
      <c r="O1059" s="15">
        <f t="shared" si="57"/>
        <v>3.86</v>
      </c>
      <c r="P1059" s="15">
        <f>IF(G1059,INDEX(monster!$J$2:$J$606,MATCH(skill!C1059,monster!$A$2:$A$606,0)),Q1059)</f>
        <v>0</v>
      </c>
      <c r="Q1059" s="70"/>
      <c r="R1059" s="52">
        <v>100</v>
      </c>
    </row>
    <row r="1060" spans="1:18" s="38" customFormat="1" x14ac:dyDescent="0.15">
      <c r="A1060" s="32">
        <v>11126</v>
      </c>
      <c r="B1060" s="32" t="s">
        <v>1915</v>
      </c>
      <c r="C1060" s="31">
        <v>1263</v>
      </c>
      <c r="D1060" s="32">
        <v>2</v>
      </c>
      <c r="E1060" s="15">
        <f>INDEX(monster!$H$2:$H$617,MATCH(skill!C1060,monster!$A$2:$A$617,0))</f>
        <v>95.8</v>
      </c>
      <c r="F1060" s="15">
        <f>INDEX(monster!$I$2:$I$617,MATCH(C1060,monster!$A$2:$A$617,0))</f>
        <v>2.87</v>
      </c>
      <c r="G1060" s="15" t="b">
        <f t="shared" si="58"/>
        <v>0</v>
      </c>
      <c r="H1060" s="31">
        <v>0</v>
      </c>
      <c r="I1060" s="15">
        <f>IF(H1060&gt;0,HLOOKUP(R1060/100,数值规划表!$B$37:$AA$39,3),1)</f>
        <v>1</v>
      </c>
      <c r="J1060" s="31" t="s">
        <v>1628</v>
      </c>
      <c r="K1060" s="15">
        <f>INDEX(数值规划表!$B$15:$B$18,MATCH(J1060,攻击范围,0))</f>
        <v>0.5</v>
      </c>
      <c r="L1060" s="70">
        <v>3</v>
      </c>
      <c r="M1060" s="51">
        <v>0</v>
      </c>
      <c r="N1060" s="15">
        <f t="shared" si="56"/>
        <v>144</v>
      </c>
      <c r="O1060" s="15">
        <f t="shared" si="57"/>
        <v>4.3099999999999996</v>
      </c>
      <c r="P1060" s="15">
        <f>IF(G1060,INDEX(monster!$J$2:$J$606,MATCH(skill!C1060,monster!$A$2:$A$606,0)),Q1060)</f>
        <v>0</v>
      </c>
      <c r="Q1060" s="70"/>
      <c r="R1060" s="52">
        <v>100</v>
      </c>
    </row>
    <row r="1061" spans="1:18" s="38" customFormat="1" x14ac:dyDescent="0.15">
      <c r="A1061" s="32">
        <v>11127</v>
      </c>
      <c r="B1061" s="32" t="s">
        <v>1916</v>
      </c>
      <c r="C1061" s="31">
        <v>1264</v>
      </c>
      <c r="D1061" s="32">
        <v>3</v>
      </c>
      <c r="E1061" s="15">
        <f>INDEX(monster!$H$2:$H$617,MATCH(skill!C1061,monster!$A$2:$A$617,0))</f>
        <v>107.29</v>
      </c>
      <c r="F1061" s="15">
        <f>INDEX(monster!$I$2:$I$617,MATCH(C1061,monster!$A$2:$A$617,0))</f>
        <v>3.22</v>
      </c>
      <c r="G1061" s="15" t="b">
        <f t="shared" si="58"/>
        <v>0</v>
      </c>
      <c r="H1061" s="31">
        <v>0</v>
      </c>
      <c r="I1061" s="15">
        <f>IF(H1061&gt;0,HLOOKUP(R1061/100,数值规划表!$B$37:$AA$39,3),1)</f>
        <v>1</v>
      </c>
      <c r="J1061" s="31" t="s">
        <v>1628</v>
      </c>
      <c r="K1061" s="15">
        <f>INDEX(数值规划表!$B$15:$B$18,MATCH(J1061,攻击范围,0))</f>
        <v>0.5</v>
      </c>
      <c r="L1061" s="70">
        <v>3</v>
      </c>
      <c r="M1061" s="51">
        <v>0</v>
      </c>
      <c r="N1061" s="15">
        <f t="shared" si="56"/>
        <v>161</v>
      </c>
      <c r="O1061" s="15">
        <f t="shared" si="57"/>
        <v>4.83</v>
      </c>
      <c r="P1061" s="15">
        <f>IF(G1061,INDEX(monster!$J$2:$J$606,MATCH(skill!C1061,monster!$A$2:$A$606,0)),Q1061)</f>
        <v>0</v>
      </c>
      <c r="Q1061" s="70"/>
      <c r="R1061" s="52">
        <v>100</v>
      </c>
    </row>
    <row r="1062" spans="1:18" s="38" customFormat="1" x14ac:dyDescent="0.15">
      <c r="A1062" s="32">
        <v>11128</v>
      </c>
      <c r="B1062" s="32" t="s">
        <v>1917</v>
      </c>
      <c r="C1062" s="31">
        <v>1265</v>
      </c>
      <c r="D1062" s="32">
        <v>4</v>
      </c>
      <c r="E1062" s="15">
        <f>INDEX(monster!$H$2:$H$617,MATCH(skill!C1062,monster!$A$2:$A$617,0))</f>
        <v>120.17</v>
      </c>
      <c r="F1062" s="15">
        <f>INDEX(monster!$I$2:$I$617,MATCH(C1062,monster!$A$2:$A$617,0))</f>
        <v>3.61</v>
      </c>
      <c r="G1062" s="15" t="b">
        <f t="shared" si="58"/>
        <v>0</v>
      </c>
      <c r="H1062" s="31">
        <v>0</v>
      </c>
      <c r="I1062" s="15">
        <f>IF(H1062&gt;0,HLOOKUP(R1062/100,数值规划表!$B$37:$AA$39,3),1)</f>
        <v>1</v>
      </c>
      <c r="J1062" s="31" t="s">
        <v>1628</v>
      </c>
      <c r="K1062" s="15">
        <f>INDEX(数值规划表!$B$15:$B$18,MATCH(J1062,攻击范围,0))</f>
        <v>0.5</v>
      </c>
      <c r="L1062" s="70">
        <v>3</v>
      </c>
      <c r="M1062" s="51">
        <v>0</v>
      </c>
      <c r="N1062" s="15">
        <f t="shared" si="56"/>
        <v>180</v>
      </c>
      <c r="O1062" s="15">
        <f t="shared" si="57"/>
        <v>5.42</v>
      </c>
      <c r="P1062" s="15">
        <f>IF(G1062,INDEX(monster!$J$2:$J$606,MATCH(skill!C1062,monster!$A$2:$A$606,0)),Q1062)</f>
        <v>0</v>
      </c>
      <c r="Q1062" s="70"/>
      <c r="R1062" s="52">
        <v>100</v>
      </c>
    </row>
    <row r="1063" spans="1:18" s="38" customFormat="1" x14ac:dyDescent="0.15">
      <c r="A1063" s="32">
        <v>11129</v>
      </c>
      <c r="B1063" s="32" t="s">
        <v>1918</v>
      </c>
      <c r="C1063" s="31">
        <v>1266</v>
      </c>
      <c r="D1063" s="32">
        <v>5</v>
      </c>
      <c r="E1063" s="15">
        <f>INDEX(monster!$H$2:$H$617,MATCH(skill!C1063,monster!$A$2:$A$617,0))</f>
        <v>134.59</v>
      </c>
      <c r="F1063" s="15">
        <f>INDEX(monster!$I$2:$I$617,MATCH(C1063,monster!$A$2:$A$617,0))</f>
        <v>4.04</v>
      </c>
      <c r="G1063" s="15" t="b">
        <f t="shared" si="58"/>
        <v>0</v>
      </c>
      <c r="H1063" s="31">
        <v>0</v>
      </c>
      <c r="I1063" s="15">
        <f>IF(H1063&gt;0,HLOOKUP(R1063/100,数值规划表!$B$37:$AA$39,3),1)</f>
        <v>1</v>
      </c>
      <c r="J1063" s="31" t="s">
        <v>1628</v>
      </c>
      <c r="K1063" s="15">
        <f>INDEX(数值规划表!$B$15:$B$18,MATCH(J1063,攻击范围,0))</f>
        <v>0.5</v>
      </c>
      <c r="L1063" s="70">
        <v>3</v>
      </c>
      <c r="M1063" s="51">
        <v>0</v>
      </c>
      <c r="N1063" s="15">
        <f t="shared" si="56"/>
        <v>202</v>
      </c>
      <c r="O1063" s="15">
        <f t="shared" si="57"/>
        <v>6.06</v>
      </c>
      <c r="P1063" s="15">
        <f>IF(G1063,INDEX(monster!$J$2:$J$606,MATCH(skill!C1063,monster!$A$2:$A$606,0)),Q1063)</f>
        <v>0</v>
      </c>
      <c r="Q1063" s="70"/>
      <c r="R1063" s="52">
        <v>100</v>
      </c>
    </row>
    <row r="1064" spans="1:18" s="38" customFormat="1" x14ac:dyDescent="0.15">
      <c r="A1064" s="32">
        <v>11130</v>
      </c>
      <c r="B1064" s="32" t="s">
        <v>1919</v>
      </c>
      <c r="C1064" s="31">
        <v>1267</v>
      </c>
      <c r="D1064" s="32">
        <v>6</v>
      </c>
      <c r="E1064" s="15">
        <f>INDEX(monster!$H$2:$H$617,MATCH(skill!C1064,monster!$A$2:$A$617,0))</f>
        <v>150.74</v>
      </c>
      <c r="F1064" s="15">
        <f>INDEX(monster!$I$2:$I$617,MATCH(C1064,monster!$A$2:$A$617,0))</f>
        <v>4.5199999999999996</v>
      </c>
      <c r="G1064" s="15" t="b">
        <f t="shared" si="58"/>
        <v>0</v>
      </c>
      <c r="H1064" s="31">
        <v>0</v>
      </c>
      <c r="I1064" s="15">
        <f>IF(H1064&gt;0,HLOOKUP(R1064/100,数值规划表!$B$37:$AA$39,3),1)</f>
        <v>1</v>
      </c>
      <c r="J1064" s="31" t="s">
        <v>1628</v>
      </c>
      <c r="K1064" s="15">
        <f>INDEX(数值规划表!$B$15:$B$18,MATCH(J1064,攻击范围,0))</f>
        <v>0.5</v>
      </c>
      <c r="L1064" s="70">
        <v>3</v>
      </c>
      <c r="M1064" s="51">
        <v>0</v>
      </c>
      <c r="N1064" s="15">
        <f t="shared" si="56"/>
        <v>226</v>
      </c>
      <c r="O1064" s="15">
        <f t="shared" si="57"/>
        <v>6.78</v>
      </c>
      <c r="P1064" s="15">
        <f>IF(G1064,INDEX(monster!$J$2:$J$606,MATCH(skill!C1064,monster!$A$2:$A$606,0)),Q1064)</f>
        <v>0</v>
      </c>
      <c r="Q1064" s="70"/>
      <c r="R1064" s="52">
        <v>100</v>
      </c>
    </row>
    <row r="1065" spans="1:18" s="38" customFormat="1" x14ac:dyDescent="0.15">
      <c r="A1065" s="32">
        <v>11131</v>
      </c>
      <c r="B1065" s="32" t="s">
        <v>1920</v>
      </c>
      <c r="C1065" s="31">
        <v>1268</v>
      </c>
      <c r="D1065" s="32">
        <v>7</v>
      </c>
      <c r="E1065" s="15">
        <f>INDEX(monster!$H$2:$H$617,MATCH(skill!C1065,monster!$A$2:$A$617,0))</f>
        <v>168.83</v>
      </c>
      <c r="F1065" s="15">
        <f>INDEX(monster!$I$2:$I$617,MATCH(C1065,monster!$A$2:$A$617,0))</f>
        <v>5.0599999999999996</v>
      </c>
      <c r="G1065" s="15" t="b">
        <f t="shared" si="58"/>
        <v>0</v>
      </c>
      <c r="H1065" s="31">
        <v>0</v>
      </c>
      <c r="I1065" s="15">
        <f>IF(H1065&gt;0,HLOOKUP(R1065/100,数值规划表!$B$37:$AA$39,3),1)</f>
        <v>1</v>
      </c>
      <c r="J1065" s="31" t="s">
        <v>1628</v>
      </c>
      <c r="K1065" s="15">
        <f>INDEX(数值规划表!$B$15:$B$18,MATCH(J1065,攻击范围,0))</f>
        <v>0.5</v>
      </c>
      <c r="L1065" s="70">
        <v>3</v>
      </c>
      <c r="M1065" s="51">
        <v>0</v>
      </c>
      <c r="N1065" s="15">
        <f t="shared" si="56"/>
        <v>253</v>
      </c>
      <c r="O1065" s="15">
        <f t="shared" si="57"/>
        <v>7.59</v>
      </c>
      <c r="P1065" s="15">
        <f>IF(G1065,INDEX(monster!$J$2:$J$606,MATCH(skill!C1065,monster!$A$2:$A$606,0)),Q1065)</f>
        <v>0</v>
      </c>
      <c r="Q1065" s="70"/>
      <c r="R1065" s="52">
        <v>100</v>
      </c>
    </row>
    <row r="1066" spans="1:18" s="38" customFormat="1" x14ac:dyDescent="0.15">
      <c r="A1066" s="32">
        <v>11132</v>
      </c>
      <c r="B1066" s="32" t="s">
        <v>1921</v>
      </c>
      <c r="C1066" s="31">
        <v>1269</v>
      </c>
      <c r="D1066" s="32">
        <v>8</v>
      </c>
      <c r="E1066" s="15">
        <f>INDEX(monster!$H$2:$H$617,MATCH(skill!C1066,monster!$A$2:$A$617,0))</f>
        <v>189.09</v>
      </c>
      <c r="F1066" s="15">
        <f>INDEX(monster!$I$2:$I$617,MATCH(C1066,monster!$A$2:$A$617,0))</f>
        <v>5.67</v>
      </c>
      <c r="G1066" s="15" t="b">
        <f t="shared" si="58"/>
        <v>0</v>
      </c>
      <c r="H1066" s="31">
        <v>0</v>
      </c>
      <c r="I1066" s="15">
        <f>IF(H1066&gt;0,HLOOKUP(R1066/100,数值规划表!$B$37:$AA$39,3),1)</f>
        <v>1</v>
      </c>
      <c r="J1066" s="31" t="s">
        <v>1628</v>
      </c>
      <c r="K1066" s="15">
        <f>INDEX(数值规划表!$B$15:$B$18,MATCH(J1066,攻击范围,0))</f>
        <v>0.5</v>
      </c>
      <c r="L1066" s="70">
        <v>3</v>
      </c>
      <c r="M1066" s="51">
        <v>0</v>
      </c>
      <c r="N1066" s="15">
        <f t="shared" si="56"/>
        <v>284</v>
      </c>
      <c r="O1066" s="15">
        <f t="shared" si="57"/>
        <v>8.51</v>
      </c>
      <c r="P1066" s="15">
        <f>IF(G1066,INDEX(monster!$J$2:$J$606,MATCH(skill!C1066,monster!$A$2:$A$606,0)),Q1066)</f>
        <v>0</v>
      </c>
      <c r="Q1066" s="70"/>
      <c r="R1066" s="52">
        <v>100</v>
      </c>
    </row>
    <row r="1067" spans="1:18" s="38" customFormat="1" x14ac:dyDescent="0.15">
      <c r="A1067" s="32">
        <v>11133</v>
      </c>
      <c r="B1067" s="32" t="s">
        <v>1922</v>
      </c>
      <c r="C1067" s="31">
        <v>1270</v>
      </c>
      <c r="D1067" s="32">
        <v>9</v>
      </c>
      <c r="E1067" s="15">
        <f>INDEX(monster!$H$2:$H$617,MATCH(skill!C1067,monster!$A$2:$A$617,0))</f>
        <v>211.78</v>
      </c>
      <c r="F1067" s="15">
        <f>INDEX(monster!$I$2:$I$617,MATCH(C1067,monster!$A$2:$A$617,0))</f>
        <v>6.35</v>
      </c>
      <c r="G1067" s="15" t="b">
        <f t="shared" si="58"/>
        <v>0</v>
      </c>
      <c r="H1067" s="31">
        <v>0</v>
      </c>
      <c r="I1067" s="15">
        <f>IF(H1067&gt;0,HLOOKUP(R1067/100,数值规划表!$B$37:$AA$39,3),1)</f>
        <v>1</v>
      </c>
      <c r="J1067" s="31" t="s">
        <v>1628</v>
      </c>
      <c r="K1067" s="15">
        <f>INDEX(数值规划表!$B$15:$B$18,MATCH(J1067,攻击范围,0))</f>
        <v>0.5</v>
      </c>
      <c r="L1067" s="70">
        <v>3</v>
      </c>
      <c r="M1067" s="51">
        <v>0</v>
      </c>
      <c r="N1067" s="15">
        <f t="shared" si="56"/>
        <v>318</v>
      </c>
      <c r="O1067" s="15">
        <f t="shared" si="57"/>
        <v>9.5299999999999994</v>
      </c>
      <c r="P1067" s="15">
        <f>IF(G1067,INDEX(monster!$J$2:$J$606,MATCH(skill!C1067,monster!$A$2:$A$606,0)),Q1067)</f>
        <v>0</v>
      </c>
      <c r="Q1067" s="70"/>
      <c r="R1067" s="52">
        <v>100</v>
      </c>
    </row>
    <row r="1068" spans="1:18" s="38" customFormat="1" x14ac:dyDescent="0.15">
      <c r="A1068" s="32">
        <v>11134</v>
      </c>
      <c r="B1068" s="32" t="s">
        <v>1923</v>
      </c>
      <c r="C1068" s="31">
        <v>1271</v>
      </c>
      <c r="D1068" s="32">
        <v>10</v>
      </c>
      <c r="E1068" s="15">
        <f>INDEX(monster!$H$2:$H$617,MATCH(skill!C1068,monster!$A$2:$A$617,0))</f>
        <v>237.19</v>
      </c>
      <c r="F1068" s="15">
        <f>INDEX(monster!$I$2:$I$617,MATCH(C1068,monster!$A$2:$A$617,0))</f>
        <v>7.12</v>
      </c>
      <c r="G1068" s="15" t="b">
        <f t="shared" si="58"/>
        <v>0</v>
      </c>
      <c r="H1068" s="31">
        <v>0</v>
      </c>
      <c r="I1068" s="15">
        <f>IF(H1068&gt;0,HLOOKUP(R1068/100,数值规划表!$B$37:$AA$39,3),1)</f>
        <v>1</v>
      </c>
      <c r="J1068" s="31" t="s">
        <v>1628</v>
      </c>
      <c r="K1068" s="15">
        <f>INDEX(数值规划表!$B$15:$B$18,MATCH(J1068,攻击范围,0))</f>
        <v>0.5</v>
      </c>
      <c r="L1068" s="70">
        <v>3</v>
      </c>
      <c r="M1068" s="51">
        <v>0</v>
      </c>
      <c r="N1068" s="15">
        <f t="shared" si="56"/>
        <v>356</v>
      </c>
      <c r="O1068" s="15">
        <f t="shared" si="57"/>
        <v>10.68</v>
      </c>
      <c r="P1068" s="15">
        <f>IF(G1068,INDEX(monster!$J$2:$J$606,MATCH(skill!C1068,monster!$A$2:$A$606,0)),Q1068)</f>
        <v>0</v>
      </c>
      <c r="Q1068" s="70"/>
      <c r="R1068" s="52">
        <v>100</v>
      </c>
    </row>
    <row r="1069" spans="1:18" x14ac:dyDescent="0.15">
      <c r="A1069" s="53">
        <v>11151</v>
      </c>
      <c r="B1069" s="53" t="s">
        <v>2366</v>
      </c>
      <c r="C1069" s="31">
        <v>1461</v>
      </c>
      <c r="D1069" s="32">
        <v>0</v>
      </c>
      <c r="E1069" s="15">
        <f>INDEX(monster!$H$2:$H$617,MATCH(skill!C1069,monster!$A$2:$A$617,0))</f>
        <v>78.400000000000006</v>
      </c>
      <c r="F1069" s="15">
        <f>INDEX(monster!$I$2:$I$617,MATCH(C1069,monster!$A$2:$A$617,0))</f>
        <v>2.35</v>
      </c>
      <c r="G1069" s="15" t="b">
        <f t="shared" ref="G1069:G1079" si="59">ISNUMBER(FIND("普攻",B1069))</f>
        <v>0</v>
      </c>
      <c r="H1069" s="31">
        <v>1</v>
      </c>
      <c r="I1069" s="15">
        <f>IF(H1069&gt;0,HLOOKUP(R1069/100,数值规划表!$B$37:$AA$39,3),1)</f>
        <v>2.8</v>
      </c>
      <c r="J1069" s="31" t="s">
        <v>1627</v>
      </c>
      <c r="K1069" s="15">
        <f>INDEX(数值规划表!$B$15:$B$18,MATCH(J1069,攻击范围,0))</f>
        <v>0.7</v>
      </c>
      <c r="L1069" s="70">
        <v>1</v>
      </c>
      <c r="M1069" s="70">
        <v>0</v>
      </c>
      <c r="N1069" s="15">
        <f t="shared" si="56"/>
        <v>154</v>
      </c>
      <c r="O1069" s="15">
        <f t="shared" si="57"/>
        <v>4.6100000000000003</v>
      </c>
      <c r="P1069" s="15">
        <f>IF(G1069,INDEX(monster!$J$2:$J$606,MATCH(skill!C1069,monster!$A$2:$A$606,0)),Q1069)</f>
        <v>0.5</v>
      </c>
      <c r="Q1069" s="70">
        <v>0.5</v>
      </c>
      <c r="R1069" s="52">
        <v>200</v>
      </c>
    </row>
    <row r="1070" spans="1:18" x14ac:dyDescent="0.15">
      <c r="A1070" s="53">
        <v>11152</v>
      </c>
      <c r="B1070" s="53" t="s">
        <v>2367</v>
      </c>
      <c r="C1070" s="31">
        <v>1462</v>
      </c>
      <c r="D1070" s="32">
        <v>1</v>
      </c>
      <c r="E1070" s="15">
        <f>INDEX(monster!$H$2:$H$617,MATCH(skill!C1070,monster!$A$2:$A$617,0))</f>
        <v>87.81</v>
      </c>
      <c r="F1070" s="15">
        <f>INDEX(monster!$I$2:$I$617,MATCH(C1070,monster!$A$2:$A$617,0))</f>
        <v>2.63</v>
      </c>
      <c r="G1070" s="15" t="b">
        <f t="shared" si="59"/>
        <v>0</v>
      </c>
      <c r="H1070" s="31">
        <v>1</v>
      </c>
      <c r="I1070" s="15">
        <f>IF(H1070&gt;0,HLOOKUP(R1070/100,数值规划表!$B$37:$AA$39,3),1)</f>
        <v>2.8</v>
      </c>
      <c r="J1070" s="31" t="s">
        <v>1627</v>
      </c>
      <c r="K1070" s="15">
        <f>INDEX(数值规划表!$B$15:$B$18,MATCH(J1070,攻击范围,0))</f>
        <v>0.7</v>
      </c>
      <c r="L1070" s="70">
        <v>1</v>
      </c>
      <c r="M1070" s="70">
        <v>0</v>
      </c>
      <c r="N1070" s="15">
        <f t="shared" si="56"/>
        <v>172</v>
      </c>
      <c r="O1070" s="15">
        <f t="shared" si="57"/>
        <v>5.15</v>
      </c>
      <c r="P1070" s="15">
        <f>IF(G1070,INDEX(monster!$J$2:$J$606,MATCH(skill!C1070,monster!$A$2:$A$606,0)),Q1070)</f>
        <v>0.5</v>
      </c>
      <c r="Q1070" s="70">
        <v>0.5</v>
      </c>
      <c r="R1070" s="52">
        <v>200</v>
      </c>
    </row>
    <row r="1071" spans="1:18" x14ac:dyDescent="0.15">
      <c r="A1071" s="53">
        <v>11153</v>
      </c>
      <c r="B1071" s="53" t="s">
        <v>2368</v>
      </c>
      <c r="C1071" s="31">
        <v>1463</v>
      </c>
      <c r="D1071" s="32">
        <v>2</v>
      </c>
      <c r="E1071" s="15">
        <f>INDEX(monster!$H$2:$H$617,MATCH(skill!C1071,monster!$A$2:$A$617,0))</f>
        <v>98.34</v>
      </c>
      <c r="F1071" s="15">
        <f>INDEX(monster!$I$2:$I$617,MATCH(C1071,monster!$A$2:$A$617,0))</f>
        <v>2.95</v>
      </c>
      <c r="G1071" s="15" t="b">
        <f t="shared" si="59"/>
        <v>0</v>
      </c>
      <c r="H1071" s="31">
        <v>1</v>
      </c>
      <c r="I1071" s="15">
        <f>IF(H1071&gt;0,HLOOKUP(R1071/100,数值规划表!$B$37:$AA$39,3),1)</f>
        <v>2.8</v>
      </c>
      <c r="J1071" s="31" t="s">
        <v>1627</v>
      </c>
      <c r="K1071" s="15">
        <f>INDEX(数值规划表!$B$15:$B$18,MATCH(J1071,攻击范围,0))</f>
        <v>0.7</v>
      </c>
      <c r="L1071" s="70">
        <v>1</v>
      </c>
      <c r="M1071" s="70">
        <v>0</v>
      </c>
      <c r="N1071" s="15">
        <f t="shared" si="56"/>
        <v>193</v>
      </c>
      <c r="O1071" s="15">
        <f t="shared" si="57"/>
        <v>5.78</v>
      </c>
      <c r="P1071" s="15">
        <f>IF(G1071,INDEX(monster!$J$2:$J$606,MATCH(skill!C1071,monster!$A$2:$A$606,0)),Q1071)</f>
        <v>0.5</v>
      </c>
      <c r="Q1071" s="70">
        <v>0.5</v>
      </c>
      <c r="R1071" s="52">
        <v>200</v>
      </c>
    </row>
    <row r="1072" spans="1:18" x14ac:dyDescent="0.15">
      <c r="A1072" s="53">
        <v>11154</v>
      </c>
      <c r="B1072" s="53" t="s">
        <v>2369</v>
      </c>
      <c r="C1072" s="31">
        <v>1464</v>
      </c>
      <c r="D1072" s="32">
        <v>3</v>
      </c>
      <c r="E1072" s="15">
        <f>INDEX(monster!$H$2:$H$617,MATCH(skill!C1072,monster!$A$2:$A$617,0))</f>
        <v>110.15</v>
      </c>
      <c r="F1072" s="15">
        <f>INDEX(monster!$I$2:$I$617,MATCH(C1072,monster!$A$2:$A$617,0))</f>
        <v>3.3</v>
      </c>
      <c r="G1072" s="15" t="b">
        <f t="shared" si="59"/>
        <v>0</v>
      </c>
      <c r="H1072" s="31">
        <v>1</v>
      </c>
      <c r="I1072" s="15">
        <f>IF(H1072&gt;0,HLOOKUP(R1072/100,数值规划表!$B$37:$AA$39,3),1)</f>
        <v>2.8</v>
      </c>
      <c r="J1072" s="31" t="s">
        <v>1627</v>
      </c>
      <c r="K1072" s="15">
        <f>INDEX(数值规划表!$B$15:$B$18,MATCH(J1072,攻击范围,0))</f>
        <v>0.7</v>
      </c>
      <c r="L1072" s="70">
        <v>1</v>
      </c>
      <c r="M1072" s="70">
        <v>0</v>
      </c>
      <c r="N1072" s="15">
        <f t="shared" si="56"/>
        <v>216</v>
      </c>
      <c r="O1072" s="15">
        <f t="shared" si="57"/>
        <v>6.47</v>
      </c>
      <c r="P1072" s="15">
        <f>IF(G1072,INDEX(monster!$J$2:$J$606,MATCH(skill!C1072,monster!$A$2:$A$606,0)),Q1072)</f>
        <v>0.5</v>
      </c>
      <c r="Q1072" s="70">
        <v>0.5</v>
      </c>
      <c r="R1072" s="52">
        <v>200</v>
      </c>
    </row>
    <row r="1073" spans="1:18" x14ac:dyDescent="0.15">
      <c r="A1073" s="53">
        <v>11155</v>
      </c>
      <c r="B1073" s="53" t="s">
        <v>2370</v>
      </c>
      <c r="C1073" s="31">
        <v>1465</v>
      </c>
      <c r="D1073" s="32">
        <v>4</v>
      </c>
      <c r="E1073" s="15">
        <f>INDEX(monster!$H$2:$H$617,MATCH(skill!C1073,monster!$A$2:$A$617,0))</f>
        <v>123.36</v>
      </c>
      <c r="F1073" s="15">
        <f>INDEX(monster!$I$2:$I$617,MATCH(C1073,monster!$A$2:$A$617,0))</f>
        <v>3.7</v>
      </c>
      <c r="G1073" s="15" t="b">
        <f t="shared" si="59"/>
        <v>0</v>
      </c>
      <c r="H1073" s="31">
        <v>1</v>
      </c>
      <c r="I1073" s="15">
        <f>IF(H1073&gt;0,HLOOKUP(R1073/100,数值规划表!$B$37:$AA$39,3),1)</f>
        <v>2.8</v>
      </c>
      <c r="J1073" s="31" t="s">
        <v>1627</v>
      </c>
      <c r="K1073" s="15">
        <f>INDEX(数值规划表!$B$15:$B$18,MATCH(J1073,攻击范围,0))</f>
        <v>0.7</v>
      </c>
      <c r="L1073" s="70">
        <v>1</v>
      </c>
      <c r="M1073" s="70">
        <v>0</v>
      </c>
      <c r="N1073" s="15">
        <f t="shared" si="56"/>
        <v>242</v>
      </c>
      <c r="O1073" s="15">
        <f t="shared" si="57"/>
        <v>7.25</v>
      </c>
      <c r="P1073" s="15">
        <f>IF(G1073,INDEX(monster!$J$2:$J$606,MATCH(skill!C1073,monster!$A$2:$A$606,0)),Q1073)</f>
        <v>0.5</v>
      </c>
      <c r="Q1073" s="70">
        <v>0.5</v>
      </c>
      <c r="R1073" s="52">
        <v>200</v>
      </c>
    </row>
    <row r="1074" spans="1:18" x14ac:dyDescent="0.15">
      <c r="A1074" s="53">
        <v>11156</v>
      </c>
      <c r="B1074" s="53" t="s">
        <v>2371</v>
      </c>
      <c r="C1074" s="31">
        <v>1466</v>
      </c>
      <c r="D1074" s="32">
        <v>5</v>
      </c>
      <c r="E1074" s="15">
        <f>INDEX(monster!$H$2:$H$617,MATCH(skill!C1074,monster!$A$2:$A$617,0))</f>
        <v>138.16999999999999</v>
      </c>
      <c r="F1074" s="15">
        <f>INDEX(monster!$I$2:$I$617,MATCH(C1074,monster!$A$2:$A$617,0))</f>
        <v>4.1500000000000004</v>
      </c>
      <c r="G1074" s="15" t="b">
        <f t="shared" si="59"/>
        <v>0</v>
      </c>
      <c r="H1074" s="31">
        <v>1</v>
      </c>
      <c r="I1074" s="15">
        <f>IF(H1074&gt;0,HLOOKUP(R1074/100,数值规划表!$B$37:$AA$39,3),1)</f>
        <v>2.8</v>
      </c>
      <c r="J1074" s="31" t="s">
        <v>1627</v>
      </c>
      <c r="K1074" s="15">
        <f>INDEX(数值规划表!$B$15:$B$18,MATCH(J1074,攻击范围,0))</f>
        <v>0.7</v>
      </c>
      <c r="L1074" s="70">
        <v>1</v>
      </c>
      <c r="M1074" s="70">
        <v>0</v>
      </c>
      <c r="N1074" s="15">
        <f t="shared" si="56"/>
        <v>271</v>
      </c>
      <c r="O1074" s="15">
        <f t="shared" si="57"/>
        <v>8.1300000000000008</v>
      </c>
      <c r="P1074" s="15">
        <f>IF(G1074,INDEX(monster!$J$2:$J$606,MATCH(skill!C1074,monster!$A$2:$A$606,0)),Q1074)</f>
        <v>0.5</v>
      </c>
      <c r="Q1074" s="70">
        <v>0.5</v>
      </c>
      <c r="R1074" s="52">
        <v>200</v>
      </c>
    </row>
    <row r="1075" spans="1:18" x14ac:dyDescent="0.15">
      <c r="A1075" s="53">
        <v>11157</v>
      </c>
      <c r="B1075" s="53" t="s">
        <v>2372</v>
      </c>
      <c r="C1075" s="31">
        <v>1467</v>
      </c>
      <c r="D1075" s="32">
        <v>6</v>
      </c>
      <c r="E1075" s="15">
        <f>INDEX(monster!$H$2:$H$617,MATCH(skill!C1075,monster!$A$2:$A$617,0))</f>
        <v>154.75</v>
      </c>
      <c r="F1075" s="15">
        <f>INDEX(monster!$I$2:$I$617,MATCH(C1075,monster!$A$2:$A$617,0))</f>
        <v>4.6399999999999997</v>
      </c>
      <c r="G1075" s="15" t="b">
        <f t="shared" si="59"/>
        <v>0</v>
      </c>
      <c r="H1075" s="31">
        <v>1</v>
      </c>
      <c r="I1075" s="15">
        <f>IF(H1075&gt;0,HLOOKUP(R1075/100,数值规划表!$B$37:$AA$39,3),1)</f>
        <v>2.8</v>
      </c>
      <c r="J1075" s="31" t="s">
        <v>1627</v>
      </c>
      <c r="K1075" s="15">
        <f>INDEX(数值规划表!$B$15:$B$18,MATCH(J1075,攻击范围,0))</f>
        <v>0.7</v>
      </c>
      <c r="L1075" s="70">
        <v>1</v>
      </c>
      <c r="M1075" s="70">
        <v>0</v>
      </c>
      <c r="N1075" s="15">
        <f t="shared" si="56"/>
        <v>303</v>
      </c>
      <c r="O1075" s="15">
        <f t="shared" si="57"/>
        <v>9.09</v>
      </c>
      <c r="P1075" s="15">
        <f>IF(G1075,INDEX(monster!$J$2:$J$606,MATCH(skill!C1075,monster!$A$2:$A$606,0)),Q1075)</f>
        <v>0.5</v>
      </c>
      <c r="Q1075" s="70">
        <v>0.5</v>
      </c>
      <c r="R1075" s="52">
        <v>200</v>
      </c>
    </row>
    <row r="1076" spans="1:18" x14ac:dyDescent="0.15">
      <c r="A1076" s="53">
        <v>11158</v>
      </c>
      <c r="B1076" s="53" t="s">
        <v>2373</v>
      </c>
      <c r="C1076" s="31">
        <v>1468</v>
      </c>
      <c r="D1076" s="32">
        <v>7</v>
      </c>
      <c r="E1076" s="15">
        <f>INDEX(monster!$H$2:$H$617,MATCH(skill!C1076,monster!$A$2:$A$617,0))</f>
        <v>173.32</v>
      </c>
      <c r="F1076" s="15">
        <f>INDEX(monster!$I$2:$I$617,MATCH(C1076,monster!$A$2:$A$617,0))</f>
        <v>5.2</v>
      </c>
      <c r="G1076" s="15" t="b">
        <f t="shared" si="59"/>
        <v>0</v>
      </c>
      <c r="H1076" s="31">
        <v>1</v>
      </c>
      <c r="I1076" s="15">
        <f>IF(H1076&gt;0,HLOOKUP(R1076/100,数值规划表!$B$37:$AA$39,3),1)</f>
        <v>2.8</v>
      </c>
      <c r="J1076" s="31" t="s">
        <v>1627</v>
      </c>
      <c r="K1076" s="15">
        <f>INDEX(数值规划表!$B$15:$B$18,MATCH(J1076,攻击范围,0))</f>
        <v>0.7</v>
      </c>
      <c r="L1076" s="70">
        <v>1</v>
      </c>
      <c r="M1076" s="70">
        <v>0</v>
      </c>
      <c r="N1076" s="15">
        <f t="shared" si="56"/>
        <v>340</v>
      </c>
      <c r="O1076" s="15">
        <f t="shared" si="57"/>
        <v>10.19</v>
      </c>
      <c r="P1076" s="15">
        <f>IF(G1076,INDEX(monster!$J$2:$J$606,MATCH(skill!C1076,monster!$A$2:$A$606,0)),Q1076)</f>
        <v>0.5</v>
      </c>
      <c r="Q1076" s="70">
        <v>0.5</v>
      </c>
      <c r="R1076" s="52">
        <v>200</v>
      </c>
    </row>
    <row r="1077" spans="1:18" x14ac:dyDescent="0.15">
      <c r="A1077" s="53">
        <v>11159</v>
      </c>
      <c r="B1077" s="53" t="s">
        <v>2374</v>
      </c>
      <c r="C1077" s="31">
        <v>1469</v>
      </c>
      <c r="D1077" s="32">
        <v>8</v>
      </c>
      <c r="E1077" s="15">
        <f>INDEX(monster!$H$2:$H$617,MATCH(skill!C1077,monster!$A$2:$A$617,0))</f>
        <v>194.12</v>
      </c>
      <c r="F1077" s="15">
        <f>INDEX(monster!$I$2:$I$617,MATCH(C1077,monster!$A$2:$A$617,0))</f>
        <v>5.82</v>
      </c>
      <c r="G1077" s="15" t="b">
        <f t="shared" si="59"/>
        <v>0</v>
      </c>
      <c r="H1077" s="31">
        <v>1</v>
      </c>
      <c r="I1077" s="15">
        <f>IF(H1077&gt;0,HLOOKUP(R1077/100,数值规划表!$B$37:$AA$39,3),1)</f>
        <v>2.8</v>
      </c>
      <c r="J1077" s="31" t="s">
        <v>1627</v>
      </c>
      <c r="K1077" s="15">
        <f>INDEX(数值规划表!$B$15:$B$18,MATCH(J1077,攻击范围,0))</f>
        <v>0.7</v>
      </c>
      <c r="L1077" s="70">
        <v>1</v>
      </c>
      <c r="M1077" s="70">
        <v>0</v>
      </c>
      <c r="N1077" s="15">
        <f t="shared" si="56"/>
        <v>380</v>
      </c>
      <c r="O1077" s="15">
        <f t="shared" si="57"/>
        <v>11.41</v>
      </c>
      <c r="P1077" s="15">
        <f>IF(G1077,INDEX(monster!$J$2:$J$606,MATCH(skill!C1077,monster!$A$2:$A$606,0)),Q1077)</f>
        <v>0.5</v>
      </c>
      <c r="Q1077" s="70">
        <v>0.5</v>
      </c>
      <c r="R1077" s="52">
        <v>200</v>
      </c>
    </row>
    <row r="1078" spans="1:18" x14ac:dyDescent="0.15">
      <c r="A1078" s="53">
        <v>11160</v>
      </c>
      <c r="B1078" s="53" t="s">
        <v>2375</v>
      </c>
      <c r="C1078" s="31">
        <v>1470</v>
      </c>
      <c r="D1078" s="32">
        <v>9</v>
      </c>
      <c r="E1078" s="15">
        <f>INDEX(monster!$H$2:$H$617,MATCH(skill!C1078,monster!$A$2:$A$617,0))</f>
        <v>217.41</v>
      </c>
      <c r="F1078" s="15">
        <f>INDEX(monster!$I$2:$I$617,MATCH(C1078,monster!$A$2:$A$617,0))</f>
        <v>6.52</v>
      </c>
      <c r="G1078" s="15" t="b">
        <f t="shared" si="59"/>
        <v>0</v>
      </c>
      <c r="H1078" s="31">
        <v>1</v>
      </c>
      <c r="I1078" s="15">
        <f>IF(H1078&gt;0,HLOOKUP(R1078/100,数值规划表!$B$37:$AA$39,3),1)</f>
        <v>2.8</v>
      </c>
      <c r="J1078" s="31" t="s">
        <v>1627</v>
      </c>
      <c r="K1078" s="15">
        <f>INDEX(数值规划表!$B$15:$B$18,MATCH(J1078,攻击范围,0))</f>
        <v>0.7</v>
      </c>
      <c r="L1078" s="70">
        <v>1</v>
      </c>
      <c r="M1078" s="70">
        <v>0</v>
      </c>
      <c r="N1078" s="15">
        <f t="shared" si="56"/>
        <v>426</v>
      </c>
      <c r="O1078" s="15">
        <f t="shared" si="57"/>
        <v>12.78</v>
      </c>
      <c r="P1078" s="15">
        <f>IF(G1078,INDEX(monster!$J$2:$J$606,MATCH(skill!C1078,monster!$A$2:$A$606,0)),Q1078)</f>
        <v>0.5</v>
      </c>
      <c r="Q1078" s="70">
        <v>0.5</v>
      </c>
      <c r="R1078" s="52">
        <v>200</v>
      </c>
    </row>
    <row r="1079" spans="1:18" x14ac:dyDescent="0.15">
      <c r="A1079" s="53">
        <v>11161</v>
      </c>
      <c r="B1079" s="53" t="s">
        <v>2376</v>
      </c>
      <c r="C1079" s="31">
        <v>1471</v>
      </c>
      <c r="D1079" s="32">
        <v>10</v>
      </c>
      <c r="E1079" s="15">
        <f>INDEX(monster!$H$2:$H$617,MATCH(skill!C1079,monster!$A$2:$A$617,0))</f>
        <v>243.5</v>
      </c>
      <c r="F1079" s="15">
        <f>INDEX(monster!$I$2:$I$617,MATCH(C1079,monster!$A$2:$A$617,0))</f>
        <v>7.3</v>
      </c>
      <c r="G1079" s="15" t="b">
        <f t="shared" si="59"/>
        <v>0</v>
      </c>
      <c r="H1079" s="31">
        <v>1</v>
      </c>
      <c r="I1079" s="15">
        <f>IF(H1079&gt;0,HLOOKUP(R1079/100,数值规划表!$B$37:$AA$39,3),1)</f>
        <v>2.8</v>
      </c>
      <c r="J1079" s="31" t="s">
        <v>1627</v>
      </c>
      <c r="K1079" s="15">
        <f>INDEX(数值规划表!$B$15:$B$18,MATCH(J1079,攻击范围,0))</f>
        <v>0.7</v>
      </c>
      <c r="L1079" s="70">
        <v>1</v>
      </c>
      <c r="M1079" s="70">
        <v>0</v>
      </c>
      <c r="N1079" s="15">
        <f t="shared" ref="N1079:N1142" si="60">ROUND(E1079*I1079*K1079*L1079,0)</f>
        <v>477</v>
      </c>
      <c r="O1079" s="15">
        <f t="shared" ref="O1079:O1142" si="61">ROUND(F1079*I1079*K1079*L1079,2)</f>
        <v>14.31</v>
      </c>
      <c r="P1079" s="15">
        <f>IF(G1079,INDEX(monster!$J$2:$J$606,MATCH(skill!C1079,monster!$A$2:$A$606,0)),Q1079)</f>
        <v>0.5</v>
      </c>
      <c r="Q1079" s="70">
        <v>0.5</v>
      </c>
      <c r="R1079" s="52">
        <v>200</v>
      </c>
    </row>
    <row r="1080" spans="1:18" x14ac:dyDescent="0.15">
      <c r="A1080" s="53">
        <v>15075</v>
      </c>
      <c r="B1080" s="73" t="s">
        <v>2401</v>
      </c>
      <c r="C1080" s="31">
        <v>1001</v>
      </c>
      <c r="D1080" s="32">
        <v>0</v>
      </c>
      <c r="E1080" s="15">
        <f>INDEX(monster!$H$2:$H$617,MATCH(skill!C1080,monster!$A$2:$A$617,0))</f>
        <v>77.28</v>
      </c>
      <c r="F1080" s="15">
        <f>INDEX(monster!$I$2:$I$617,MATCH(C1080,monster!$A$2:$A$617,0))</f>
        <v>2.3199999999999998</v>
      </c>
      <c r="G1080" s="15" t="b">
        <f t="shared" ref="G1080:G1090" si="62">ISNUMBER(FIND("普攻",B1080))</f>
        <v>0</v>
      </c>
      <c r="H1080" s="31">
        <v>0</v>
      </c>
      <c r="I1080" s="15">
        <f>IF(H1080&gt;0,HLOOKUP(R1080/100,数值规划表!$B$37:$AA$39,3),1)</f>
        <v>1</v>
      </c>
      <c r="J1080" s="31" t="s">
        <v>1625</v>
      </c>
      <c r="K1080" s="15">
        <f>INDEX(数值规划表!$B$15:$B$18,MATCH(J1080,攻击范围,0))</f>
        <v>1</v>
      </c>
      <c r="L1080" s="70">
        <v>2</v>
      </c>
      <c r="M1080" s="70">
        <v>0</v>
      </c>
      <c r="N1080" s="15">
        <f t="shared" si="60"/>
        <v>155</v>
      </c>
      <c r="O1080" s="15">
        <f t="shared" si="61"/>
        <v>4.6399999999999997</v>
      </c>
      <c r="P1080" s="15">
        <f>IF(G1080,INDEX(monster!$J$2:$J$606,MATCH(skill!C1080,monster!$A$2:$A$606,0)),Q1080)</f>
        <v>0.5</v>
      </c>
      <c r="Q1080" s="70">
        <v>0.5</v>
      </c>
      <c r="R1080" s="52">
        <v>120</v>
      </c>
    </row>
    <row r="1081" spans="1:18" x14ac:dyDescent="0.15">
      <c r="A1081" s="53">
        <v>15076</v>
      </c>
      <c r="B1081" s="73" t="s">
        <v>2402</v>
      </c>
      <c r="C1081" s="31">
        <v>1002</v>
      </c>
      <c r="D1081" s="32">
        <v>1</v>
      </c>
      <c r="E1081" s="15">
        <f>INDEX(monster!$H$2:$H$617,MATCH(skill!C1081,monster!$A$2:$A$617,0))</f>
        <v>86.55</v>
      </c>
      <c r="F1081" s="15">
        <f>INDEX(monster!$I$2:$I$617,MATCH(C1081,monster!$A$2:$A$617,0))</f>
        <v>2.6</v>
      </c>
      <c r="G1081" s="15" t="b">
        <f t="shared" si="62"/>
        <v>0</v>
      </c>
      <c r="H1081" s="31">
        <v>0</v>
      </c>
      <c r="I1081" s="15">
        <f>IF(H1081&gt;0,HLOOKUP(R1081/100,数值规划表!$B$37:$AA$39,3),1)</f>
        <v>1</v>
      </c>
      <c r="J1081" s="31" t="s">
        <v>1625</v>
      </c>
      <c r="K1081" s="15">
        <f>INDEX(数值规划表!$B$15:$B$18,MATCH(J1081,攻击范围,0))</f>
        <v>1</v>
      </c>
      <c r="L1081" s="70">
        <v>2</v>
      </c>
      <c r="M1081" s="70">
        <v>0</v>
      </c>
      <c r="N1081" s="15">
        <f t="shared" si="60"/>
        <v>173</v>
      </c>
      <c r="O1081" s="15">
        <f t="shared" si="61"/>
        <v>5.2</v>
      </c>
      <c r="P1081" s="15">
        <f>IF(G1081,INDEX(monster!$J$2:$J$606,MATCH(skill!C1081,monster!$A$2:$A$606,0)),Q1081)</f>
        <v>0.5</v>
      </c>
      <c r="Q1081" s="70">
        <v>0.5</v>
      </c>
      <c r="R1081" s="52">
        <v>120</v>
      </c>
    </row>
    <row r="1082" spans="1:18" x14ac:dyDescent="0.15">
      <c r="A1082" s="53">
        <v>15077</v>
      </c>
      <c r="B1082" s="73" t="s">
        <v>2392</v>
      </c>
      <c r="C1082" s="31">
        <v>1003</v>
      </c>
      <c r="D1082" s="32">
        <v>2</v>
      </c>
      <c r="E1082" s="15">
        <f>INDEX(monster!$H$2:$H$617,MATCH(skill!C1082,monster!$A$2:$A$617,0))</f>
        <v>96.94</v>
      </c>
      <c r="F1082" s="15">
        <f>INDEX(monster!$I$2:$I$617,MATCH(C1082,monster!$A$2:$A$617,0))</f>
        <v>2.91</v>
      </c>
      <c r="G1082" s="15" t="b">
        <f t="shared" si="62"/>
        <v>0</v>
      </c>
      <c r="H1082" s="31">
        <v>0</v>
      </c>
      <c r="I1082" s="15">
        <f>IF(H1082&gt;0,HLOOKUP(R1082/100,数值规划表!$B$37:$AA$39,3),1)</f>
        <v>1</v>
      </c>
      <c r="J1082" s="31" t="s">
        <v>1625</v>
      </c>
      <c r="K1082" s="15">
        <f>INDEX(数值规划表!$B$15:$B$18,MATCH(J1082,攻击范围,0))</f>
        <v>1</v>
      </c>
      <c r="L1082" s="70">
        <v>2</v>
      </c>
      <c r="M1082" s="70">
        <v>0</v>
      </c>
      <c r="N1082" s="15">
        <f t="shared" si="60"/>
        <v>194</v>
      </c>
      <c r="O1082" s="15">
        <f t="shared" si="61"/>
        <v>5.82</v>
      </c>
      <c r="P1082" s="15">
        <f>IF(G1082,INDEX(monster!$J$2:$J$606,MATCH(skill!C1082,monster!$A$2:$A$606,0)),Q1082)</f>
        <v>0.5</v>
      </c>
      <c r="Q1082" s="70">
        <v>0.5</v>
      </c>
      <c r="R1082" s="52">
        <v>120</v>
      </c>
    </row>
    <row r="1083" spans="1:18" x14ac:dyDescent="0.15">
      <c r="A1083" s="53">
        <v>15078</v>
      </c>
      <c r="B1083" s="73" t="s">
        <v>2393</v>
      </c>
      <c r="C1083" s="31">
        <v>1004</v>
      </c>
      <c r="D1083" s="32">
        <v>3</v>
      </c>
      <c r="E1083" s="15">
        <f>INDEX(monster!$H$2:$H$617,MATCH(skill!C1083,monster!$A$2:$A$617,0))</f>
        <v>108.57</v>
      </c>
      <c r="F1083" s="15">
        <f>INDEX(monster!$I$2:$I$617,MATCH(C1083,monster!$A$2:$A$617,0))</f>
        <v>3.26</v>
      </c>
      <c r="G1083" s="15" t="b">
        <f t="shared" si="62"/>
        <v>0</v>
      </c>
      <c r="H1083" s="31">
        <v>0</v>
      </c>
      <c r="I1083" s="15">
        <f>IF(H1083&gt;0,HLOOKUP(R1083/100,数值规划表!$B$37:$AA$39,3),1)</f>
        <v>1</v>
      </c>
      <c r="J1083" s="31" t="s">
        <v>1625</v>
      </c>
      <c r="K1083" s="15">
        <f>INDEX(数值规划表!$B$15:$B$18,MATCH(J1083,攻击范围,0))</f>
        <v>1</v>
      </c>
      <c r="L1083" s="70">
        <v>2</v>
      </c>
      <c r="M1083" s="70">
        <v>0</v>
      </c>
      <c r="N1083" s="15">
        <f t="shared" si="60"/>
        <v>217</v>
      </c>
      <c r="O1083" s="15">
        <f t="shared" si="61"/>
        <v>6.52</v>
      </c>
      <c r="P1083" s="15">
        <f>IF(G1083,INDEX(monster!$J$2:$J$606,MATCH(skill!C1083,monster!$A$2:$A$606,0)),Q1083)</f>
        <v>0.5</v>
      </c>
      <c r="Q1083" s="70">
        <v>0.5</v>
      </c>
      <c r="R1083" s="52">
        <v>120</v>
      </c>
    </row>
    <row r="1084" spans="1:18" x14ac:dyDescent="0.15">
      <c r="A1084" s="53">
        <v>15079</v>
      </c>
      <c r="B1084" s="73" t="s">
        <v>2394</v>
      </c>
      <c r="C1084" s="31">
        <v>1005</v>
      </c>
      <c r="D1084" s="32">
        <v>4</v>
      </c>
      <c r="E1084" s="15">
        <f>INDEX(monster!$H$2:$H$617,MATCH(skill!C1084,monster!$A$2:$A$617,0))</f>
        <v>121.6</v>
      </c>
      <c r="F1084" s="15">
        <f>INDEX(monster!$I$2:$I$617,MATCH(C1084,monster!$A$2:$A$617,0))</f>
        <v>3.65</v>
      </c>
      <c r="G1084" s="15" t="b">
        <f t="shared" si="62"/>
        <v>0</v>
      </c>
      <c r="H1084" s="31">
        <v>0</v>
      </c>
      <c r="I1084" s="15">
        <f>IF(H1084&gt;0,HLOOKUP(R1084/100,数值规划表!$B$37:$AA$39,3),1)</f>
        <v>1</v>
      </c>
      <c r="J1084" s="31" t="s">
        <v>1625</v>
      </c>
      <c r="K1084" s="15">
        <f>INDEX(数值规划表!$B$15:$B$18,MATCH(J1084,攻击范围,0))</f>
        <v>1</v>
      </c>
      <c r="L1084" s="70">
        <v>2</v>
      </c>
      <c r="M1084" s="70">
        <v>0</v>
      </c>
      <c r="N1084" s="15">
        <f t="shared" si="60"/>
        <v>243</v>
      </c>
      <c r="O1084" s="15">
        <f t="shared" si="61"/>
        <v>7.3</v>
      </c>
      <c r="P1084" s="15">
        <f>IF(G1084,INDEX(monster!$J$2:$J$606,MATCH(skill!C1084,monster!$A$2:$A$606,0)),Q1084)</f>
        <v>0.5</v>
      </c>
      <c r="Q1084" s="70">
        <v>0.5</v>
      </c>
      <c r="R1084" s="52">
        <v>120</v>
      </c>
    </row>
    <row r="1085" spans="1:18" x14ac:dyDescent="0.15">
      <c r="A1085" s="53">
        <v>15080</v>
      </c>
      <c r="B1085" s="73" t="s">
        <v>2395</v>
      </c>
      <c r="C1085" s="31">
        <v>1006</v>
      </c>
      <c r="D1085" s="32">
        <v>5</v>
      </c>
      <c r="E1085" s="15">
        <f>INDEX(monster!$H$2:$H$617,MATCH(skill!C1085,monster!$A$2:$A$617,0))</f>
        <v>136.19</v>
      </c>
      <c r="F1085" s="15">
        <f>INDEX(monster!$I$2:$I$617,MATCH(C1085,monster!$A$2:$A$617,0))</f>
        <v>4.09</v>
      </c>
      <c r="G1085" s="15" t="b">
        <f t="shared" si="62"/>
        <v>0</v>
      </c>
      <c r="H1085" s="31">
        <v>0</v>
      </c>
      <c r="I1085" s="15">
        <f>IF(H1085&gt;0,HLOOKUP(R1085/100,数值规划表!$B$37:$AA$39,3),1)</f>
        <v>1</v>
      </c>
      <c r="J1085" s="31" t="s">
        <v>1625</v>
      </c>
      <c r="K1085" s="15">
        <f>INDEX(数值规划表!$B$15:$B$18,MATCH(J1085,攻击范围,0))</f>
        <v>1</v>
      </c>
      <c r="L1085" s="70">
        <v>2</v>
      </c>
      <c r="M1085" s="70">
        <v>0</v>
      </c>
      <c r="N1085" s="15">
        <f t="shared" si="60"/>
        <v>272</v>
      </c>
      <c r="O1085" s="15">
        <f t="shared" si="61"/>
        <v>8.18</v>
      </c>
      <c r="P1085" s="15">
        <f>IF(G1085,INDEX(monster!$J$2:$J$606,MATCH(skill!C1085,monster!$A$2:$A$606,0)),Q1085)</f>
        <v>0.5</v>
      </c>
      <c r="Q1085" s="70">
        <v>0.5</v>
      </c>
      <c r="R1085" s="52">
        <v>120</v>
      </c>
    </row>
    <row r="1086" spans="1:18" x14ac:dyDescent="0.15">
      <c r="A1086" s="53">
        <v>15081</v>
      </c>
      <c r="B1086" s="73" t="s">
        <v>2396</v>
      </c>
      <c r="C1086" s="31">
        <v>1007</v>
      </c>
      <c r="D1086" s="32">
        <v>6</v>
      </c>
      <c r="E1086" s="15">
        <f>INDEX(monster!$H$2:$H$617,MATCH(skill!C1086,monster!$A$2:$A$617,0))</f>
        <v>152.54</v>
      </c>
      <c r="F1086" s="15">
        <f>INDEX(monster!$I$2:$I$617,MATCH(C1086,monster!$A$2:$A$617,0))</f>
        <v>4.58</v>
      </c>
      <c r="G1086" s="15" t="b">
        <f t="shared" si="62"/>
        <v>0</v>
      </c>
      <c r="H1086" s="31">
        <v>0</v>
      </c>
      <c r="I1086" s="15">
        <f>IF(H1086&gt;0,HLOOKUP(R1086/100,数值规划表!$B$37:$AA$39,3),1)</f>
        <v>1</v>
      </c>
      <c r="J1086" s="31" t="s">
        <v>1625</v>
      </c>
      <c r="K1086" s="15">
        <f>INDEX(数值规划表!$B$15:$B$18,MATCH(J1086,攻击范围,0))</f>
        <v>1</v>
      </c>
      <c r="L1086" s="70">
        <v>2</v>
      </c>
      <c r="M1086" s="70">
        <v>0</v>
      </c>
      <c r="N1086" s="15">
        <f t="shared" si="60"/>
        <v>305</v>
      </c>
      <c r="O1086" s="15">
        <f t="shared" si="61"/>
        <v>9.16</v>
      </c>
      <c r="P1086" s="15">
        <f>IF(G1086,INDEX(monster!$J$2:$J$606,MATCH(skill!C1086,monster!$A$2:$A$606,0)),Q1086)</f>
        <v>0.5</v>
      </c>
      <c r="Q1086" s="70">
        <v>0.5</v>
      </c>
      <c r="R1086" s="52">
        <v>120</v>
      </c>
    </row>
    <row r="1087" spans="1:18" x14ac:dyDescent="0.15">
      <c r="A1087" s="53">
        <v>15082</v>
      </c>
      <c r="B1087" s="73" t="s">
        <v>2397</v>
      </c>
      <c r="C1087" s="31">
        <v>1008</v>
      </c>
      <c r="D1087" s="32">
        <v>7</v>
      </c>
      <c r="E1087" s="15">
        <f>INDEX(monster!$H$2:$H$617,MATCH(skill!C1087,monster!$A$2:$A$617,0))</f>
        <v>170.84</v>
      </c>
      <c r="F1087" s="15">
        <f>INDEX(monster!$I$2:$I$617,MATCH(C1087,monster!$A$2:$A$617,0))</f>
        <v>5.13</v>
      </c>
      <c r="G1087" s="15" t="b">
        <f t="shared" si="62"/>
        <v>0</v>
      </c>
      <c r="H1087" s="31">
        <v>0</v>
      </c>
      <c r="I1087" s="15">
        <f>IF(H1087&gt;0,HLOOKUP(R1087/100,数值规划表!$B$37:$AA$39,3),1)</f>
        <v>1</v>
      </c>
      <c r="J1087" s="31" t="s">
        <v>1625</v>
      </c>
      <c r="K1087" s="15">
        <f>INDEX(数值规划表!$B$15:$B$18,MATCH(J1087,攻击范围,0))</f>
        <v>1</v>
      </c>
      <c r="L1087" s="70">
        <v>2</v>
      </c>
      <c r="M1087" s="70">
        <v>0</v>
      </c>
      <c r="N1087" s="15">
        <f t="shared" si="60"/>
        <v>342</v>
      </c>
      <c r="O1087" s="15">
        <f t="shared" si="61"/>
        <v>10.26</v>
      </c>
      <c r="P1087" s="15">
        <f>IF(G1087,INDEX(monster!$J$2:$J$606,MATCH(skill!C1087,monster!$A$2:$A$606,0)),Q1087)</f>
        <v>0.5</v>
      </c>
      <c r="Q1087" s="70">
        <v>0.5</v>
      </c>
      <c r="R1087" s="52">
        <v>120</v>
      </c>
    </row>
    <row r="1088" spans="1:18" x14ac:dyDescent="0.15">
      <c r="A1088" s="53">
        <v>15083</v>
      </c>
      <c r="B1088" s="73" t="s">
        <v>2398</v>
      </c>
      <c r="C1088" s="31">
        <v>1009</v>
      </c>
      <c r="D1088" s="32">
        <v>8</v>
      </c>
      <c r="E1088" s="15">
        <f>INDEX(monster!$H$2:$H$617,MATCH(skill!C1088,monster!$A$2:$A$617,0))</f>
        <v>191.34</v>
      </c>
      <c r="F1088" s="15">
        <f>INDEX(monster!$I$2:$I$617,MATCH(C1088,monster!$A$2:$A$617,0))</f>
        <v>5.74</v>
      </c>
      <c r="G1088" s="15" t="b">
        <f t="shared" si="62"/>
        <v>0</v>
      </c>
      <c r="H1088" s="31">
        <v>0</v>
      </c>
      <c r="I1088" s="15">
        <f>IF(H1088&gt;0,HLOOKUP(R1088/100,数值规划表!$B$37:$AA$39,3),1)</f>
        <v>1</v>
      </c>
      <c r="J1088" s="31" t="s">
        <v>1625</v>
      </c>
      <c r="K1088" s="15">
        <f>INDEX(数值规划表!$B$15:$B$18,MATCH(J1088,攻击范围,0))</f>
        <v>1</v>
      </c>
      <c r="L1088" s="70">
        <v>2</v>
      </c>
      <c r="M1088" s="70">
        <v>0</v>
      </c>
      <c r="N1088" s="15">
        <f t="shared" si="60"/>
        <v>383</v>
      </c>
      <c r="O1088" s="15">
        <f t="shared" si="61"/>
        <v>11.48</v>
      </c>
      <c r="P1088" s="15">
        <f>IF(G1088,INDEX(monster!$J$2:$J$606,MATCH(skill!C1088,monster!$A$2:$A$606,0)),Q1088)</f>
        <v>0.5</v>
      </c>
      <c r="Q1088" s="70">
        <v>0.5</v>
      </c>
      <c r="R1088" s="52">
        <v>120</v>
      </c>
    </row>
    <row r="1089" spans="1:18" x14ac:dyDescent="0.15">
      <c r="A1089" s="53">
        <v>15084</v>
      </c>
      <c r="B1089" s="73" t="s">
        <v>2399</v>
      </c>
      <c r="C1089" s="31">
        <v>1010</v>
      </c>
      <c r="D1089" s="32">
        <v>9</v>
      </c>
      <c r="E1089" s="15">
        <f>INDEX(monster!$H$2:$H$617,MATCH(skill!C1089,monster!$A$2:$A$617,0))</f>
        <v>214.3</v>
      </c>
      <c r="F1089" s="15">
        <f>INDEX(monster!$I$2:$I$617,MATCH(C1089,monster!$A$2:$A$617,0))</f>
        <v>6.43</v>
      </c>
      <c r="G1089" s="15" t="b">
        <f t="shared" si="62"/>
        <v>0</v>
      </c>
      <c r="H1089" s="31">
        <v>0</v>
      </c>
      <c r="I1089" s="15">
        <f>IF(H1089&gt;0,HLOOKUP(R1089/100,数值规划表!$B$37:$AA$39,3),1)</f>
        <v>1</v>
      </c>
      <c r="J1089" s="31" t="s">
        <v>1625</v>
      </c>
      <c r="K1089" s="15">
        <f>INDEX(数值规划表!$B$15:$B$18,MATCH(J1089,攻击范围,0))</f>
        <v>1</v>
      </c>
      <c r="L1089" s="70">
        <v>2</v>
      </c>
      <c r="M1089" s="70">
        <v>0</v>
      </c>
      <c r="N1089" s="15">
        <f t="shared" si="60"/>
        <v>429</v>
      </c>
      <c r="O1089" s="15">
        <f t="shared" si="61"/>
        <v>12.86</v>
      </c>
      <c r="P1089" s="15">
        <f>IF(G1089,INDEX(monster!$J$2:$J$606,MATCH(skill!C1089,monster!$A$2:$A$606,0)),Q1089)</f>
        <v>0.5</v>
      </c>
      <c r="Q1089" s="70">
        <v>0.5</v>
      </c>
      <c r="R1089" s="52">
        <v>120</v>
      </c>
    </row>
    <row r="1090" spans="1:18" x14ac:dyDescent="0.15">
      <c r="A1090" s="53">
        <v>15085</v>
      </c>
      <c r="B1090" s="73" t="s">
        <v>2400</v>
      </c>
      <c r="C1090" s="31">
        <v>1011</v>
      </c>
      <c r="D1090" s="32">
        <v>10</v>
      </c>
      <c r="E1090" s="15">
        <f>INDEX(monster!$H$2:$H$617,MATCH(skill!C1090,monster!$A$2:$A$617,0))</f>
        <v>240.02</v>
      </c>
      <c r="F1090" s="15">
        <f>INDEX(monster!$I$2:$I$617,MATCH(C1090,monster!$A$2:$A$617,0))</f>
        <v>7.2</v>
      </c>
      <c r="G1090" s="15" t="b">
        <f t="shared" si="62"/>
        <v>0</v>
      </c>
      <c r="H1090" s="31">
        <v>0</v>
      </c>
      <c r="I1090" s="15">
        <f>IF(H1090&gt;0,HLOOKUP(R1090/100,数值规划表!$B$37:$AA$39,3),1)</f>
        <v>1</v>
      </c>
      <c r="J1090" s="31" t="s">
        <v>1625</v>
      </c>
      <c r="K1090" s="15">
        <f>INDEX(数值规划表!$B$15:$B$18,MATCH(J1090,攻击范围,0))</f>
        <v>1</v>
      </c>
      <c r="L1090" s="70">
        <v>2</v>
      </c>
      <c r="M1090" s="70">
        <v>0</v>
      </c>
      <c r="N1090" s="15">
        <f t="shared" si="60"/>
        <v>480</v>
      </c>
      <c r="O1090" s="15">
        <f t="shared" si="61"/>
        <v>14.4</v>
      </c>
      <c r="P1090" s="15">
        <f>IF(G1090,INDEX(monster!$J$2:$J$606,MATCH(skill!C1090,monster!$A$2:$A$606,0)),Q1090)</f>
        <v>0.5</v>
      </c>
      <c r="Q1090" s="70">
        <v>0.5</v>
      </c>
      <c r="R1090" s="52">
        <v>120</v>
      </c>
    </row>
    <row r="1091" spans="1:18" x14ac:dyDescent="0.15">
      <c r="A1091" s="53">
        <v>15117</v>
      </c>
      <c r="B1091" s="79" t="s">
        <v>2452</v>
      </c>
      <c r="C1091" s="31">
        <v>-1</v>
      </c>
      <c r="D1091" s="31">
        <v>0</v>
      </c>
      <c r="E1091" s="15">
        <f>数值规划表!D79</f>
        <v>362.38</v>
      </c>
      <c r="F1091" s="15">
        <f>ROUND(E1091*数值规划表!$F$57,2)</f>
        <v>10.87</v>
      </c>
      <c r="G1091" s="41" t="b">
        <v>0</v>
      </c>
      <c r="H1091" s="31">
        <v>1</v>
      </c>
      <c r="I1091" s="15">
        <f>IF(H1091&gt;0,HLOOKUP(R1091/100,数值规划表!$B$37:$AA$39,3),1)</f>
        <v>1</v>
      </c>
      <c r="J1091" s="31" t="s">
        <v>1628</v>
      </c>
      <c r="K1091" s="15">
        <f>INDEX(数值规划表!$B$15:$B$18,MATCH(J1091,攻击范围,0))</f>
        <v>0.5</v>
      </c>
      <c r="L1091" s="30">
        <v>0.3</v>
      </c>
      <c r="M1091" s="41">
        <v>7</v>
      </c>
      <c r="N1091" s="15">
        <f t="shared" si="60"/>
        <v>54</v>
      </c>
      <c r="O1091" s="15">
        <f t="shared" si="61"/>
        <v>1.63</v>
      </c>
      <c r="P1091" s="15">
        <f>IF(G1091,INDEX(monster!$J$2:$J$606,MATCH(skill!C1091,monster!$A$2:$A$606,0)),Q1091)</f>
        <v>6</v>
      </c>
      <c r="Q1091" s="80">
        <v>6</v>
      </c>
      <c r="R1091" s="52">
        <v>100</v>
      </c>
    </row>
    <row r="1092" spans="1:18" x14ac:dyDescent="0.15">
      <c r="A1092" s="53">
        <v>15118</v>
      </c>
      <c r="B1092" s="79" t="s">
        <v>2453</v>
      </c>
      <c r="C1092" s="31">
        <v>-1</v>
      </c>
      <c r="D1092" s="31">
        <v>1</v>
      </c>
      <c r="E1092" s="15">
        <f>数值规划表!D80</f>
        <v>481.0711106055756</v>
      </c>
      <c r="F1092" s="15">
        <f>ROUND(F1091*1.3,2)</f>
        <v>14.13</v>
      </c>
      <c r="G1092" s="70" t="b">
        <v>0</v>
      </c>
      <c r="H1092" s="31">
        <v>1</v>
      </c>
      <c r="I1092" s="15">
        <f>IF(H1092&gt;0,HLOOKUP(R1092/100,数值规划表!$B$37:$AA$39,3),1)</f>
        <v>1</v>
      </c>
      <c r="J1092" s="31" t="s">
        <v>1628</v>
      </c>
      <c r="K1092" s="15">
        <f>INDEX(数值规划表!$B$15:$B$18,MATCH(J1092,攻击范围,0))</f>
        <v>0.5</v>
      </c>
      <c r="L1092" s="70">
        <v>0.3</v>
      </c>
      <c r="M1092" s="70">
        <v>7</v>
      </c>
      <c r="N1092" s="15">
        <f t="shared" si="60"/>
        <v>72</v>
      </c>
      <c r="O1092" s="15">
        <f t="shared" si="61"/>
        <v>2.12</v>
      </c>
      <c r="P1092" s="15">
        <f>IF(G1092,INDEX(monster!$J$2:$J$606,MATCH(skill!C1092,monster!$A$2:$A$606,0)),Q1092)</f>
        <v>6</v>
      </c>
      <c r="Q1092" s="80">
        <v>6</v>
      </c>
      <c r="R1092" s="52">
        <v>100</v>
      </c>
    </row>
    <row r="1093" spans="1:18" x14ac:dyDescent="0.15">
      <c r="A1093" s="53">
        <v>15119</v>
      </c>
      <c r="B1093" s="79" t="s">
        <v>2454</v>
      </c>
      <c r="C1093" s="31">
        <v>-1</v>
      </c>
      <c r="D1093" s="31">
        <v>2</v>
      </c>
      <c r="E1093" s="15">
        <f>数值规划表!D81</f>
        <v>638.6373791580163</v>
      </c>
      <c r="F1093" s="15">
        <f t="shared" ref="F1093:F1095" si="63">ROUND(F1092*1.3,2)</f>
        <v>18.37</v>
      </c>
      <c r="G1093" s="70" t="b">
        <v>0</v>
      </c>
      <c r="H1093" s="31">
        <v>1</v>
      </c>
      <c r="I1093" s="15">
        <f>IF(H1093&gt;0,HLOOKUP(R1093/100,数值规划表!$B$37:$AA$39,3),1)</f>
        <v>1</v>
      </c>
      <c r="J1093" s="31" t="s">
        <v>1628</v>
      </c>
      <c r="K1093" s="15">
        <f>INDEX(数值规划表!$B$15:$B$18,MATCH(J1093,攻击范围,0))</f>
        <v>0.5</v>
      </c>
      <c r="L1093" s="70">
        <v>0.3</v>
      </c>
      <c r="M1093" s="70">
        <v>7</v>
      </c>
      <c r="N1093" s="15">
        <f t="shared" si="60"/>
        <v>96</v>
      </c>
      <c r="O1093" s="15">
        <f t="shared" si="61"/>
        <v>2.76</v>
      </c>
      <c r="P1093" s="15">
        <f>IF(G1093,INDEX(monster!$J$2:$J$606,MATCH(skill!C1093,monster!$A$2:$A$606,0)),Q1093)</f>
        <v>6</v>
      </c>
      <c r="Q1093" s="80">
        <v>6</v>
      </c>
      <c r="R1093" s="52">
        <v>100</v>
      </c>
    </row>
    <row r="1094" spans="1:18" x14ac:dyDescent="0.15">
      <c r="A1094" s="53">
        <v>15120</v>
      </c>
      <c r="B1094" s="79" t="s">
        <v>2455</v>
      </c>
      <c r="C1094" s="31">
        <v>-1</v>
      </c>
      <c r="D1094" s="31">
        <v>3</v>
      </c>
      <c r="E1094" s="15">
        <f>数值规划表!D82</f>
        <v>847.81167080352384</v>
      </c>
      <c r="F1094" s="15">
        <f t="shared" si="63"/>
        <v>23.88</v>
      </c>
      <c r="G1094" s="70" t="b">
        <v>0</v>
      </c>
      <c r="H1094" s="31">
        <v>1</v>
      </c>
      <c r="I1094" s="15">
        <f>IF(H1094&gt;0,HLOOKUP(R1094/100,数值规划表!$B$37:$AA$39,3),1)</f>
        <v>1</v>
      </c>
      <c r="J1094" s="31" t="s">
        <v>1628</v>
      </c>
      <c r="K1094" s="15">
        <f>INDEX(数值规划表!$B$15:$B$18,MATCH(J1094,攻击范围,0))</f>
        <v>0.5</v>
      </c>
      <c r="L1094" s="70">
        <v>0.3</v>
      </c>
      <c r="M1094" s="70">
        <v>7</v>
      </c>
      <c r="N1094" s="15">
        <f t="shared" si="60"/>
        <v>127</v>
      </c>
      <c r="O1094" s="15">
        <f t="shared" si="61"/>
        <v>3.58</v>
      </c>
      <c r="P1094" s="15">
        <f>IF(G1094,INDEX(monster!$J$2:$J$606,MATCH(skill!C1094,monster!$A$2:$A$606,0)),Q1094)</f>
        <v>6</v>
      </c>
      <c r="Q1094" s="80">
        <v>6</v>
      </c>
      <c r="R1094" s="52">
        <v>100</v>
      </c>
    </row>
    <row r="1095" spans="1:18" x14ac:dyDescent="0.15">
      <c r="A1095" s="53">
        <v>15121</v>
      </c>
      <c r="B1095" s="79" t="s">
        <v>2456</v>
      </c>
      <c r="C1095" s="31">
        <v>-1</v>
      </c>
      <c r="D1095" s="31">
        <v>4</v>
      </c>
      <c r="E1095" s="15">
        <f>数值规划表!D83</f>
        <v>1125.4972737397754</v>
      </c>
      <c r="F1095" s="15">
        <f t="shared" si="63"/>
        <v>31.04</v>
      </c>
      <c r="G1095" s="70" t="b">
        <v>0</v>
      </c>
      <c r="H1095" s="31">
        <v>1</v>
      </c>
      <c r="I1095" s="15">
        <f>IF(H1095&gt;0,HLOOKUP(R1095/100,数值规划表!$B$37:$AA$39,3),1)</f>
        <v>1</v>
      </c>
      <c r="J1095" s="31" t="s">
        <v>1628</v>
      </c>
      <c r="K1095" s="15">
        <f>INDEX(数值规划表!$B$15:$B$18,MATCH(J1095,攻击范围,0))</f>
        <v>0.5</v>
      </c>
      <c r="L1095" s="70">
        <v>0.3</v>
      </c>
      <c r="M1095" s="70">
        <v>7</v>
      </c>
      <c r="N1095" s="15">
        <f t="shared" si="60"/>
        <v>169</v>
      </c>
      <c r="O1095" s="15">
        <f t="shared" si="61"/>
        <v>4.66</v>
      </c>
      <c r="P1095" s="15">
        <f>IF(G1095,INDEX(monster!$J$2:$J$606,MATCH(skill!C1095,monster!$A$2:$A$606,0)),Q1095)</f>
        <v>6</v>
      </c>
      <c r="Q1095" s="80">
        <v>6</v>
      </c>
      <c r="R1095" s="52">
        <v>100</v>
      </c>
    </row>
    <row r="1096" spans="1:18" x14ac:dyDescent="0.15">
      <c r="A1096" s="53">
        <v>15101</v>
      </c>
      <c r="B1096" s="79" t="s">
        <v>2457</v>
      </c>
      <c r="C1096" s="31">
        <v>-1</v>
      </c>
      <c r="D1096" s="31">
        <v>0</v>
      </c>
      <c r="E1096" s="15">
        <f>数值规划表!C79</f>
        <v>163.62</v>
      </c>
      <c r="F1096" s="15">
        <f>ROUND(E1096*数值规划表!$F$57,2)</f>
        <v>4.91</v>
      </c>
      <c r="G1096" s="70" t="b">
        <v>0</v>
      </c>
      <c r="H1096" s="31">
        <v>1</v>
      </c>
      <c r="I1096" s="15">
        <v>1</v>
      </c>
      <c r="J1096" s="31" t="s">
        <v>1627</v>
      </c>
      <c r="K1096" s="15">
        <f>INDEX(数值规划表!$B$15:$B$18,MATCH(J1096,攻击范围,0))</f>
        <v>0.7</v>
      </c>
      <c r="L1096" s="30">
        <v>1</v>
      </c>
      <c r="M1096" s="70">
        <v>1</v>
      </c>
      <c r="N1096" s="15">
        <f t="shared" si="60"/>
        <v>115</v>
      </c>
      <c r="O1096" s="15">
        <f t="shared" si="61"/>
        <v>3.44</v>
      </c>
      <c r="P1096" s="15">
        <f>IF(G1096,INDEX(monster!$J$2:$J$606,MATCH(skill!C1096,monster!$A$2:$A$606,0)),Q1096)</f>
        <v>6</v>
      </c>
      <c r="Q1096" s="80">
        <v>6</v>
      </c>
      <c r="R1096" s="52">
        <v>100</v>
      </c>
    </row>
    <row r="1097" spans="1:18" x14ac:dyDescent="0.15">
      <c r="A1097" s="53">
        <v>15102</v>
      </c>
      <c r="B1097" s="79" t="s">
        <v>2458</v>
      </c>
      <c r="C1097" s="31">
        <v>-1</v>
      </c>
      <c r="D1097" s="31">
        <v>1</v>
      </c>
      <c r="E1097" s="15">
        <f>数值规划表!C80</f>
        <v>217.21081493814305</v>
      </c>
      <c r="F1097" s="15">
        <f>ROUND(E1097*数值规划表!$F$57,2)</f>
        <v>6.52</v>
      </c>
      <c r="G1097" s="70" t="b">
        <v>0</v>
      </c>
      <c r="H1097" s="31">
        <v>1</v>
      </c>
      <c r="I1097" s="15">
        <v>1</v>
      </c>
      <c r="J1097" s="31" t="s">
        <v>1627</v>
      </c>
      <c r="K1097" s="15">
        <f>INDEX(数值规划表!$B$15:$B$18,MATCH(J1097,攻击范围,0))</f>
        <v>0.7</v>
      </c>
      <c r="L1097" s="70">
        <v>1</v>
      </c>
      <c r="M1097" s="70">
        <v>1</v>
      </c>
      <c r="N1097" s="15">
        <f t="shared" si="60"/>
        <v>152</v>
      </c>
      <c r="O1097" s="15">
        <f t="shared" si="61"/>
        <v>4.5599999999999996</v>
      </c>
      <c r="P1097" s="15">
        <f>IF(G1097,INDEX(monster!$J$2:$J$606,MATCH(skill!C1097,monster!$A$2:$A$606,0)),Q1097)</f>
        <v>6</v>
      </c>
      <c r="Q1097" s="80">
        <v>6</v>
      </c>
      <c r="R1097" s="52">
        <v>100</v>
      </c>
    </row>
    <row r="1098" spans="1:18" x14ac:dyDescent="0.15">
      <c r="A1098" s="53">
        <v>15103</v>
      </c>
      <c r="B1098" s="79" t="s">
        <v>2459</v>
      </c>
      <c r="C1098" s="31">
        <v>-1</v>
      </c>
      <c r="D1098" s="31">
        <v>2</v>
      </c>
      <c r="E1098" s="15">
        <f>数值规划表!C81</f>
        <v>288.35434620518413</v>
      </c>
      <c r="F1098" s="15">
        <f>ROUND(E1098*数值规划表!$F$57,2)</f>
        <v>8.65</v>
      </c>
      <c r="G1098" s="70" t="b">
        <v>0</v>
      </c>
      <c r="H1098" s="31">
        <v>1</v>
      </c>
      <c r="I1098" s="15">
        <v>1</v>
      </c>
      <c r="J1098" s="31" t="s">
        <v>1627</v>
      </c>
      <c r="K1098" s="15">
        <f>INDEX(数值规划表!$B$15:$B$18,MATCH(J1098,攻击范围,0))</f>
        <v>0.7</v>
      </c>
      <c r="L1098" s="70">
        <v>1</v>
      </c>
      <c r="M1098" s="70">
        <v>1</v>
      </c>
      <c r="N1098" s="15">
        <f t="shared" si="60"/>
        <v>202</v>
      </c>
      <c r="O1098" s="15">
        <f t="shared" si="61"/>
        <v>6.06</v>
      </c>
      <c r="P1098" s="15">
        <f>IF(G1098,INDEX(monster!$J$2:$J$606,MATCH(skill!C1098,monster!$A$2:$A$606,0)),Q1098)</f>
        <v>6</v>
      </c>
      <c r="Q1098" s="80">
        <v>6</v>
      </c>
      <c r="R1098" s="52">
        <v>100</v>
      </c>
    </row>
    <row r="1099" spans="1:18" x14ac:dyDescent="0.15">
      <c r="A1099" s="53">
        <v>15104</v>
      </c>
      <c r="B1099" s="79" t="s">
        <v>2460</v>
      </c>
      <c r="C1099" s="31">
        <v>-1</v>
      </c>
      <c r="D1099" s="31">
        <v>3</v>
      </c>
      <c r="E1099" s="15">
        <f>数值规划表!C82</f>
        <v>382.7996732073309</v>
      </c>
      <c r="F1099" s="15">
        <f>ROUND(E1099*数值规划表!$F$57,2)</f>
        <v>11.48</v>
      </c>
      <c r="G1099" s="70" t="b">
        <v>0</v>
      </c>
      <c r="H1099" s="31">
        <v>1</v>
      </c>
      <c r="I1099" s="15">
        <v>1</v>
      </c>
      <c r="J1099" s="31" t="s">
        <v>1627</v>
      </c>
      <c r="K1099" s="15">
        <f>INDEX(数值规划表!$B$15:$B$18,MATCH(J1099,攻击范围,0))</f>
        <v>0.7</v>
      </c>
      <c r="L1099" s="70">
        <v>1</v>
      </c>
      <c r="M1099" s="70">
        <v>1</v>
      </c>
      <c r="N1099" s="15">
        <f t="shared" si="60"/>
        <v>268</v>
      </c>
      <c r="O1099" s="15">
        <f t="shared" si="61"/>
        <v>8.0399999999999991</v>
      </c>
      <c r="P1099" s="15">
        <f>IF(G1099,INDEX(monster!$J$2:$J$606,MATCH(skill!C1099,monster!$A$2:$A$606,0)),Q1099)</f>
        <v>6</v>
      </c>
      <c r="Q1099" s="80">
        <v>6</v>
      </c>
      <c r="R1099" s="52">
        <v>100</v>
      </c>
    </row>
    <row r="1100" spans="1:18" x14ac:dyDescent="0.15">
      <c r="A1100" s="53">
        <v>15105</v>
      </c>
      <c r="B1100" s="79" t="s">
        <v>2461</v>
      </c>
      <c r="C1100" s="31">
        <v>-1</v>
      </c>
      <c r="D1100" s="31">
        <v>4</v>
      </c>
      <c r="E1100" s="15">
        <f>数值规划表!C83</f>
        <v>508.17888384928</v>
      </c>
      <c r="F1100" s="15">
        <f>ROUND(E1100*数值规划表!$F$57,2)</f>
        <v>15.25</v>
      </c>
      <c r="G1100" s="70" t="b">
        <v>0</v>
      </c>
      <c r="H1100" s="31">
        <v>1</v>
      </c>
      <c r="I1100" s="15">
        <v>1</v>
      </c>
      <c r="J1100" s="31" t="s">
        <v>1627</v>
      </c>
      <c r="K1100" s="15">
        <f>INDEX(数值规划表!$B$15:$B$18,MATCH(J1100,攻击范围,0))</f>
        <v>0.7</v>
      </c>
      <c r="L1100" s="70">
        <v>1</v>
      </c>
      <c r="M1100" s="70">
        <v>1</v>
      </c>
      <c r="N1100" s="15">
        <f t="shared" si="60"/>
        <v>356</v>
      </c>
      <c r="O1100" s="15">
        <f t="shared" si="61"/>
        <v>10.68</v>
      </c>
      <c r="P1100" s="15">
        <f>IF(G1100,INDEX(monster!$J$2:$J$606,MATCH(skill!C1100,monster!$A$2:$A$606,0)),Q1100)</f>
        <v>6</v>
      </c>
      <c r="Q1100" s="80">
        <v>6</v>
      </c>
      <c r="R1100" s="52">
        <v>100</v>
      </c>
    </row>
    <row r="1101" spans="1:18" x14ac:dyDescent="0.15">
      <c r="A1101" s="53">
        <v>15106</v>
      </c>
      <c r="B1101" s="79" t="s">
        <v>2462</v>
      </c>
      <c r="C1101" s="31">
        <v>-1</v>
      </c>
      <c r="D1101" s="31">
        <v>0</v>
      </c>
      <c r="E1101" s="15">
        <f>数值规划表!C79</f>
        <v>163.62</v>
      </c>
      <c r="F1101" s="15">
        <f>ROUND(E1101*数值规划表!$F$57,2)</f>
        <v>4.91</v>
      </c>
      <c r="G1101" s="70" t="b">
        <v>0</v>
      </c>
      <c r="H1101" s="31">
        <v>1</v>
      </c>
      <c r="I1101" s="15">
        <v>1</v>
      </c>
      <c r="J1101" s="31" t="s">
        <v>1628</v>
      </c>
      <c r="K1101" s="15">
        <f>INDEX(数值规划表!$B$15:$B$18,MATCH(J1101,攻击范围,0))</f>
        <v>0.5</v>
      </c>
      <c r="L1101" s="70">
        <v>1</v>
      </c>
      <c r="M1101" s="70">
        <v>1</v>
      </c>
      <c r="N1101" s="15">
        <f t="shared" si="60"/>
        <v>82</v>
      </c>
      <c r="O1101" s="15">
        <f t="shared" si="61"/>
        <v>2.46</v>
      </c>
      <c r="P1101" s="15">
        <f>IF(G1101,INDEX(monster!$J$2:$J$606,MATCH(skill!C1101,monster!$A$2:$A$606,0)),Q1101)</f>
        <v>12</v>
      </c>
      <c r="Q1101" s="81">
        <v>12</v>
      </c>
      <c r="R1101" s="52">
        <v>100</v>
      </c>
    </row>
    <row r="1102" spans="1:18" x14ac:dyDescent="0.15">
      <c r="A1102" s="53">
        <v>15107</v>
      </c>
      <c r="B1102" s="79" t="s">
        <v>2463</v>
      </c>
      <c r="C1102" s="31">
        <v>-1</v>
      </c>
      <c r="D1102" s="31">
        <v>1</v>
      </c>
      <c r="E1102" s="15">
        <f>数值规划表!C80</f>
        <v>217.21081493814305</v>
      </c>
      <c r="F1102" s="15">
        <f>ROUND(E1102*数值规划表!$F$57,2)</f>
        <v>6.52</v>
      </c>
      <c r="G1102" s="70" t="b">
        <v>0</v>
      </c>
      <c r="H1102" s="31">
        <v>1</v>
      </c>
      <c r="I1102" s="15">
        <v>1</v>
      </c>
      <c r="J1102" s="31" t="s">
        <v>1628</v>
      </c>
      <c r="K1102" s="15">
        <f>INDEX(数值规划表!$B$15:$B$18,MATCH(J1102,攻击范围,0))</f>
        <v>0.5</v>
      </c>
      <c r="L1102" s="70">
        <v>1</v>
      </c>
      <c r="M1102" s="70">
        <v>1</v>
      </c>
      <c r="N1102" s="15">
        <f t="shared" si="60"/>
        <v>109</v>
      </c>
      <c r="O1102" s="15">
        <f t="shared" si="61"/>
        <v>3.26</v>
      </c>
      <c r="P1102" s="15">
        <f>IF(G1102,INDEX(monster!$J$2:$J$606,MATCH(skill!C1102,monster!$A$2:$A$606,0)),Q1102)</f>
        <v>12</v>
      </c>
      <c r="Q1102" s="81">
        <v>12</v>
      </c>
      <c r="R1102" s="52">
        <v>100</v>
      </c>
    </row>
    <row r="1103" spans="1:18" x14ac:dyDescent="0.15">
      <c r="A1103" s="53">
        <v>15108</v>
      </c>
      <c r="B1103" s="79" t="s">
        <v>2464</v>
      </c>
      <c r="C1103" s="31">
        <v>-1</v>
      </c>
      <c r="D1103" s="31">
        <v>2</v>
      </c>
      <c r="E1103" s="15">
        <f>数值规划表!C81</f>
        <v>288.35434620518413</v>
      </c>
      <c r="F1103" s="15">
        <f>ROUND(E1103*数值规划表!$F$57,2)</f>
        <v>8.65</v>
      </c>
      <c r="G1103" s="70" t="b">
        <v>0</v>
      </c>
      <c r="H1103" s="31">
        <v>1</v>
      </c>
      <c r="I1103" s="15">
        <v>1</v>
      </c>
      <c r="J1103" s="31" t="s">
        <v>1628</v>
      </c>
      <c r="K1103" s="15">
        <f>INDEX(数值规划表!$B$15:$B$18,MATCH(J1103,攻击范围,0))</f>
        <v>0.5</v>
      </c>
      <c r="L1103" s="70">
        <v>1</v>
      </c>
      <c r="M1103" s="70">
        <v>1</v>
      </c>
      <c r="N1103" s="15">
        <f t="shared" si="60"/>
        <v>144</v>
      </c>
      <c r="O1103" s="15">
        <f t="shared" si="61"/>
        <v>4.33</v>
      </c>
      <c r="P1103" s="15">
        <f>IF(G1103,INDEX(monster!$J$2:$J$606,MATCH(skill!C1103,monster!$A$2:$A$606,0)),Q1103)</f>
        <v>12</v>
      </c>
      <c r="Q1103" s="81">
        <v>12</v>
      </c>
      <c r="R1103" s="52">
        <v>100</v>
      </c>
    </row>
    <row r="1104" spans="1:18" x14ac:dyDescent="0.15">
      <c r="A1104" s="53">
        <v>15109</v>
      </c>
      <c r="B1104" s="79" t="s">
        <v>2465</v>
      </c>
      <c r="C1104" s="31">
        <v>-1</v>
      </c>
      <c r="D1104" s="31">
        <v>3</v>
      </c>
      <c r="E1104" s="15">
        <f>数值规划表!C82</f>
        <v>382.7996732073309</v>
      </c>
      <c r="F1104" s="15">
        <f>ROUND(E1104*数值规划表!$F$57,2)</f>
        <v>11.48</v>
      </c>
      <c r="G1104" s="70" t="b">
        <v>0</v>
      </c>
      <c r="H1104" s="31">
        <v>1</v>
      </c>
      <c r="I1104" s="15">
        <v>1</v>
      </c>
      <c r="J1104" s="31" t="s">
        <v>1628</v>
      </c>
      <c r="K1104" s="15">
        <f>INDEX(数值规划表!$B$15:$B$18,MATCH(J1104,攻击范围,0))</f>
        <v>0.5</v>
      </c>
      <c r="L1104" s="70">
        <v>1</v>
      </c>
      <c r="M1104" s="70">
        <v>1</v>
      </c>
      <c r="N1104" s="15">
        <f t="shared" si="60"/>
        <v>191</v>
      </c>
      <c r="O1104" s="15">
        <f t="shared" si="61"/>
        <v>5.74</v>
      </c>
      <c r="P1104" s="15">
        <f>IF(G1104,INDEX(monster!$J$2:$J$606,MATCH(skill!C1104,monster!$A$2:$A$606,0)),Q1104)</f>
        <v>12</v>
      </c>
      <c r="Q1104" s="81">
        <v>12</v>
      </c>
      <c r="R1104" s="52">
        <v>100</v>
      </c>
    </row>
    <row r="1105" spans="1:18" x14ac:dyDescent="0.15">
      <c r="A1105" s="53">
        <v>15110</v>
      </c>
      <c r="B1105" s="79" t="s">
        <v>2466</v>
      </c>
      <c r="C1105" s="31">
        <v>-1</v>
      </c>
      <c r="D1105" s="31">
        <v>4</v>
      </c>
      <c r="E1105" s="15">
        <f>数值规划表!C83</f>
        <v>508.17888384928</v>
      </c>
      <c r="F1105" s="15">
        <f>ROUND(E1105*数值规划表!$F$57,2)</f>
        <v>15.25</v>
      </c>
      <c r="G1105" s="70" t="b">
        <v>0</v>
      </c>
      <c r="H1105" s="31">
        <v>1</v>
      </c>
      <c r="I1105" s="15">
        <v>1</v>
      </c>
      <c r="J1105" s="31" t="s">
        <v>1628</v>
      </c>
      <c r="K1105" s="15">
        <f>INDEX(数值规划表!$B$15:$B$18,MATCH(J1105,攻击范围,0))</f>
        <v>0.5</v>
      </c>
      <c r="L1105" s="70">
        <v>1</v>
      </c>
      <c r="M1105" s="70">
        <v>1</v>
      </c>
      <c r="N1105" s="15">
        <f t="shared" si="60"/>
        <v>254</v>
      </c>
      <c r="O1105" s="15">
        <f t="shared" si="61"/>
        <v>7.63</v>
      </c>
      <c r="P1105" s="15">
        <f>IF(G1105,INDEX(monster!$J$2:$J$606,MATCH(skill!C1105,monster!$A$2:$A$606,0)),Q1105)</f>
        <v>12</v>
      </c>
      <c r="Q1105" s="81">
        <v>12</v>
      </c>
      <c r="R1105" s="52">
        <v>100</v>
      </c>
    </row>
    <row r="1106" spans="1:18" x14ac:dyDescent="0.15">
      <c r="A1106" s="53">
        <v>11135</v>
      </c>
      <c r="B1106" s="53" t="s">
        <v>2467</v>
      </c>
      <c r="C1106" s="31">
        <v>-1</v>
      </c>
      <c r="D1106" s="31">
        <v>0</v>
      </c>
      <c r="E1106" s="15">
        <f>数值规划表!D79</f>
        <v>362.38</v>
      </c>
      <c r="F1106" s="15">
        <f>ROUND(E1106*数值规划表!$F$57,2)</f>
        <v>10.87</v>
      </c>
      <c r="G1106" s="70" t="b">
        <v>0</v>
      </c>
      <c r="H1106" s="31">
        <v>1</v>
      </c>
      <c r="I1106" s="15">
        <v>1</v>
      </c>
      <c r="J1106" s="31" t="s">
        <v>1628</v>
      </c>
      <c r="K1106" s="15">
        <f>INDEX(数值规划表!$B$15:$B$18,MATCH(J1106,攻击范围,0))</f>
        <v>0.5</v>
      </c>
      <c r="L1106" s="30">
        <v>1</v>
      </c>
      <c r="M1106" s="70">
        <v>1</v>
      </c>
      <c r="N1106" s="15">
        <f t="shared" si="60"/>
        <v>181</v>
      </c>
      <c r="O1106" s="15">
        <f t="shared" si="61"/>
        <v>5.44</v>
      </c>
      <c r="P1106" s="15">
        <f>IF(G1106,INDEX(monster!$J$2:$J$606,MATCH(skill!C1106,monster!$A$2:$A$606,0)),Q1106)</f>
        <v>12</v>
      </c>
      <c r="Q1106" s="81">
        <v>12</v>
      </c>
      <c r="R1106" s="52">
        <v>100</v>
      </c>
    </row>
    <row r="1107" spans="1:18" x14ac:dyDescent="0.15">
      <c r="A1107" s="53">
        <v>11136</v>
      </c>
      <c r="B1107" s="53" t="s">
        <v>2468</v>
      </c>
      <c r="C1107" s="31">
        <v>-1</v>
      </c>
      <c r="D1107" s="31">
        <v>1</v>
      </c>
      <c r="E1107" s="15">
        <f>数值规划表!D80</f>
        <v>481.0711106055756</v>
      </c>
      <c r="F1107" s="15">
        <f>ROUND(E1107*数值规划表!$F$57,2)</f>
        <v>14.43</v>
      </c>
      <c r="G1107" s="70" t="b">
        <v>0</v>
      </c>
      <c r="H1107" s="31">
        <v>1</v>
      </c>
      <c r="I1107" s="15">
        <v>1</v>
      </c>
      <c r="J1107" s="31" t="s">
        <v>1628</v>
      </c>
      <c r="K1107" s="15">
        <f>INDEX(数值规划表!$B$15:$B$18,MATCH(J1107,攻击范围,0))</f>
        <v>0.5</v>
      </c>
      <c r="L1107" s="70">
        <v>1</v>
      </c>
      <c r="M1107" s="70">
        <v>1</v>
      </c>
      <c r="N1107" s="15">
        <f t="shared" si="60"/>
        <v>241</v>
      </c>
      <c r="O1107" s="15">
        <f t="shared" si="61"/>
        <v>7.22</v>
      </c>
      <c r="P1107" s="15">
        <f>IF(G1107,INDEX(monster!$J$2:$J$606,MATCH(skill!C1107,monster!$A$2:$A$606,0)),Q1107)</f>
        <v>12</v>
      </c>
      <c r="Q1107" s="81">
        <v>12</v>
      </c>
      <c r="R1107" s="52">
        <v>100</v>
      </c>
    </row>
    <row r="1108" spans="1:18" x14ac:dyDescent="0.15">
      <c r="A1108" s="53">
        <v>11137</v>
      </c>
      <c r="B1108" s="53" t="s">
        <v>2469</v>
      </c>
      <c r="C1108" s="31">
        <v>-1</v>
      </c>
      <c r="D1108" s="31">
        <v>2</v>
      </c>
      <c r="E1108" s="15">
        <f>数值规划表!D81</f>
        <v>638.6373791580163</v>
      </c>
      <c r="F1108" s="15">
        <f>ROUND(E1108*数值规划表!$F$57,2)</f>
        <v>19.16</v>
      </c>
      <c r="G1108" s="70" t="b">
        <v>0</v>
      </c>
      <c r="H1108" s="31">
        <v>1</v>
      </c>
      <c r="I1108" s="15">
        <v>1</v>
      </c>
      <c r="J1108" s="31" t="s">
        <v>1628</v>
      </c>
      <c r="K1108" s="15">
        <f>INDEX(数值规划表!$B$15:$B$18,MATCH(J1108,攻击范围,0))</f>
        <v>0.5</v>
      </c>
      <c r="L1108" s="70">
        <v>1</v>
      </c>
      <c r="M1108" s="70">
        <v>1</v>
      </c>
      <c r="N1108" s="15">
        <f t="shared" si="60"/>
        <v>319</v>
      </c>
      <c r="O1108" s="15">
        <f t="shared" si="61"/>
        <v>9.58</v>
      </c>
      <c r="P1108" s="15">
        <f>IF(G1108,INDEX(monster!$J$2:$J$606,MATCH(skill!C1108,monster!$A$2:$A$606,0)),Q1108)</f>
        <v>12</v>
      </c>
      <c r="Q1108" s="81">
        <v>12</v>
      </c>
      <c r="R1108" s="52">
        <v>100</v>
      </c>
    </row>
    <row r="1109" spans="1:18" x14ac:dyDescent="0.15">
      <c r="A1109" s="53">
        <v>11138</v>
      </c>
      <c r="B1109" s="53" t="s">
        <v>2470</v>
      </c>
      <c r="C1109" s="31">
        <v>-1</v>
      </c>
      <c r="D1109" s="31">
        <v>3</v>
      </c>
      <c r="E1109" s="15">
        <f>数值规划表!D82</f>
        <v>847.81167080352384</v>
      </c>
      <c r="F1109" s="15">
        <f>ROUND(E1109*数值规划表!$F$57,2)</f>
        <v>25.43</v>
      </c>
      <c r="G1109" s="70" t="b">
        <v>0</v>
      </c>
      <c r="H1109" s="31">
        <v>1</v>
      </c>
      <c r="I1109" s="15">
        <v>1</v>
      </c>
      <c r="J1109" s="31" t="s">
        <v>1628</v>
      </c>
      <c r="K1109" s="15">
        <f>INDEX(数值规划表!$B$15:$B$18,MATCH(J1109,攻击范围,0))</f>
        <v>0.5</v>
      </c>
      <c r="L1109" s="70">
        <v>1</v>
      </c>
      <c r="M1109" s="70">
        <v>1</v>
      </c>
      <c r="N1109" s="15">
        <f t="shared" si="60"/>
        <v>424</v>
      </c>
      <c r="O1109" s="15">
        <f t="shared" si="61"/>
        <v>12.72</v>
      </c>
      <c r="P1109" s="15">
        <f>IF(G1109,INDEX(monster!$J$2:$J$606,MATCH(skill!C1109,monster!$A$2:$A$606,0)),Q1109)</f>
        <v>12</v>
      </c>
      <c r="Q1109" s="81">
        <v>12</v>
      </c>
      <c r="R1109" s="52">
        <v>100</v>
      </c>
    </row>
    <row r="1110" spans="1:18" x14ac:dyDescent="0.15">
      <c r="A1110" s="53">
        <v>11139</v>
      </c>
      <c r="B1110" s="53" t="s">
        <v>2471</v>
      </c>
      <c r="C1110" s="31">
        <v>-1</v>
      </c>
      <c r="D1110" s="31">
        <v>4</v>
      </c>
      <c r="E1110" s="15">
        <f>数值规划表!D83</f>
        <v>1125.4972737397754</v>
      </c>
      <c r="F1110" s="15">
        <f>ROUND(E1110*数值规划表!$F$57,2)</f>
        <v>33.76</v>
      </c>
      <c r="G1110" s="70" t="b">
        <v>0</v>
      </c>
      <c r="H1110" s="31">
        <v>1</v>
      </c>
      <c r="I1110" s="15">
        <v>1</v>
      </c>
      <c r="J1110" s="31" t="s">
        <v>1628</v>
      </c>
      <c r="K1110" s="15">
        <f>INDEX(数值规划表!$B$15:$B$18,MATCH(J1110,攻击范围,0))</f>
        <v>0.5</v>
      </c>
      <c r="L1110" s="70">
        <v>1</v>
      </c>
      <c r="M1110" s="70">
        <v>1</v>
      </c>
      <c r="N1110" s="15">
        <f t="shared" si="60"/>
        <v>563</v>
      </c>
      <c r="O1110" s="15">
        <f t="shared" si="61"/>
        <v>16.88</v>
      </c>
      <c r="P1110" s="15">
        <f>IF(G1110,INDEX(monster!$J$2:$J$606,MATCH(skill!C1110,monster!$A$2:$A$606,0)),Q1110)</f>
        <v>12</v>
      </c>
      <c r="Q1110" s="81">
        <v>12</v>
      </c>
      <c r="R1110" s="52">
        <v>100</v>
      </c>
    </row>
    <row r="1111" spans="1:18" x14ac:dyDescent="0.15">
      <c r="A1111" s="53">
        <v>15152</v>
      </c>
      <c r="B1111" s="53" t="s">
        <v>2473</v>
      </c>
      <c r="C1111" s="53">
        <v>2061</v>
      </c>
      <c r="D1111" s="53">
        <v>0</v>
      </c>
      <c r="E1111" s="15">
        <f>INDEX(monster!$H$2:$H$681,MATCH(skill!C1111,monster!$A$2:$A$681,0))</f>
        <v>39.200000000000003</v>
      </c>
      <c r="F1111" s="15">
        <f>INDEX(monster!$I$2:$I$681,MATCH(C1111,monster!$A$2:$A$681,0))</f>
        <v>1.18</v>
      </c>
      <c r="G1111" s="70" t="b">
        <v>1</v>
      </c>
      <c r="H1111" s="31">
        <v>1</v>
      </c>
      <c r="I1111" s="15">
        <v>1</v>
      </c>
      <c r="J1111" s="31" t="s">
        <v>1627</v>
      </c>
      <c r="K1111" s="15">
        <f>INDEX(数值规划表!$B$15:$B$18,MATCH(J1111,攻击范围,0))</f>
        <v>0.7</v>
      </c>
      <c r="L1111" s="70">
        <v>1</v>
      </c>
      <c r="M1111" s="70">
        <v>1</v>
      </c>
      <c r="N1111" s="15">
        <f t="shared" si="60"/>
        <v>27</v>
      </c>
      <c r="O1111" s="15">
        <f t="shared" si="61"/>
        <v>0.83</v>
      </c>
      <c r="P1111" s="15">
        <f>IF(G1111,INDEX(monster!$J$2:$J$681,MATCH(skill!C1111,monster!$A$2:$A$681,0)),Q1111)</f>
        <v>1.2</v>
      </c>
      <c r="Q1111" s="81">
        <v>12</v>
      </c>
      <c r="R1111" s="52">
        <v>100</v>
      </c>
    </row>
    <row r="1112" spans="1:18" x14ac:dyDescent="0.15">
      <c r="A1112" s="53">
        <v>15153</v>
      </c>
      <c r="B1112" s="73" t="s">
        <v>2914</v>
      </c>
      <c r="C1112" s="53">
        <v>2062</v>
      </c>
      <c r="D1112" s="32">
        <v>0</v>
      </c>
      <c r="E1112" s="15">
        <f>INDEX(monster!$H$2:$H$681,MATCH(skill!C1112,monster!$A$2:$A$681,0))</f>
        <v>101.02</v>
      </c>
      <c r="F1112" s="15">
        <f>INDEX(monster!$I$2:$I$681,MATCH(C1112,monster!$A$2:$A$681,0))</f>
        <v>3.03</v>
      </c>
      <c r="G1112" s="70" t="b">
        <v>1</v>
      </c>
      <c r="H1112" s="31">
        <v>1</v>
      </c>
      <c r="I1112" s="15">
        <f>IF(H1112&gt;0,HLOOKUP(R1112/100,数值规划表!$B$37:$AA$39,3),1)</f>
        <v>1.7999999999999998</v>
      </c>
      <c r="J1112" s="31" t="s">
        <v>1627</v>
      </c>
      <c r="K1112" s="15">
        <f>INDEX(数值规划表!$B$15:$B$18,MATCH(J1112,攻击范围,0))</f>
        <v>0.7</v>
      </c>
      <c r="L1112" s="70">
        <v>1</v>
      </c>
      <c r="M1112" s="70">
        <v>1</v>
      </c>
      <c r="N1112" s="15">
        <f t="shared" si="60"/>
        <v>127</v>
      </c>
      <c r="O1112" s="15">
        <f t="shared" si="61"/>
        <v>3.82</v>
      </c>
      <c r="P1112" s="15">
        <f>IF(G1112,INDEX(monster!$J$2:$J$681,MATCH(skill!C1112,monster!$A$2:$A$681,0)),Q1112)</f>
        <v>1.2</v>
      </c>
      <c r="Q1112" s="81">
        <v>12</v>
      </c>
      <c r="R1112" s="52">
        <v>150</v>
      </c>
    </row>
    <row r="1113" spans="1:18" x14ac:dyDescent="0.15">
      <c r="A1113" s="53">
        <v>15154</v>
      </c>
      <c r="B1113" s="73" t="s">
        <v>2915</v>
      </c>
      <c r="C1113" s="53">
        <v>2063</v>
      </c>
      <c r="D1113" s="32">
        <v>1</v>
      </c>
      <c r="E1113" s="15">
        <f>INDEX(monster!$H$2:$H$681,MATCH(skill!C1113,monster!$A$2:$A$681,0))</f>
        <v>113.14</v>
      </c>
      <c r="F1113" s="15">
        <f>INDEX(monster!$I$2:$I$681,MATCH(C1113,monster!$A$2:$A$681,0))</f>
        <v>3.39</v>
      </c>
      <c r="G1113" s="70" t="b">
        <v>1</v>
      </c>
      <c r="H1113" s="31">
        <v>1</v>
      </c>
      <c r="I1113" s="15">
        <f>IF(H1113&gt;0,HLOOKUP(R1113/100,数值规划表!$B$37:$AA$39,3),1)</f>
        <v>1.7999999999999998</v>
      </c>
      <c r="J1113" s="31" t="s">
        <v>1627</v>
      </c>
      <c r="K1113" s="15">
        <f>INDEX(数值规划表!$B$15:$B$18,MATCH(J1113,攻击范围,0))</f>
        <v>0.7</v>
      </c>
      <c r="L1113" s="70">
        <v>1</v>
      </c>
      <c r="M1113" s="70">
        <v>1</v>
      </c>
      <c r="N1113" s="15">
        <f t="shared" si="60"/>
        <v>143</v>
      </c>
      <c r="O1113" s="15">
        <f t="shared" si="61"/>
        <v>4.2699999999999996</v>
      </c>
      <c r="P1113" s="15">
        <f>IF(G1113,INDEX(monster!$J$2:$J$681,MATCH(skill!C1113,monster!$A$2:$A$681,0)),Q1113)</f>
        <v>1.2</v>
      </c>
      <c r="Q1113" s="81">
        <v>12</v>
      </c>
      <c r="R1113" s="52">
        <v>150</v>
      </c>
    </row>
    <row r="1114" spans="1:18" x14ac:dyDescent="0.15">
      <c r="A1114" s="53">
        <v>15155</v>
      </c>
      <c r="B1114" s="73" t="s">
        <v>2491</v>
      </c>
      <c r="C1114" s="53">
        <v>2064</v>
      </c>
      <c r="D1114" s="32">
        <v>2</v>
      </c>
      <c r="E1114" s="15">
        <f>INDEX(monster!$H$2:$H$681,MATCH(skill!C1114,monster!$A$2:$A$681,0))</f>
        <v>126.72</v>
      </c>
      <c r="F1114" s="15">
        <f>INDEX(monster!$I$2:$I$681,MATCH(C1114,monster!$A$2:$A$681,0))</f>
        <v>3.8</v>
      </c>
      <c r="G1114" s="70" t="b">
        <v>1</v>
      </c>
      <c r="H1114" s="31">
        <v>1</v>
      </c>
      <c r="I1114" s="15">
        <f>IF(H1114&gt;0,HLOOKUP(R1114/100,数值规划表!$B$37:$AA$39,3),1)</f>
        <v>1.7999999999999998</v>
      </c>
      <c r="J1114" s="31" t="s">
        <v>1627</v>
      </c>
      <c r="K1114" s="15">
        <f>INDEX(数值规划表!$B$15:$B$18,MATCH(J1114,攻击范围,0))</f>
        <v>0.7</v>
      </c>
      <c r="L1114" s="70">
        <v>1</v>
      </c>
      <c r="M1114" s="70">
        <v>1</v>
      </c>
      <c r="N1114" s="15">
        <f t="shared" si="60"/>
        <v>160</v>
      </c>
      <c r="O1114" s="15">
        <f t="shared" si="61"/>
        <v>4.79</v>
      </c>
      <c r="P1114" s="15">
        <f>IF(G1114,INDEX(monster!$J$2:$J$681,MATCH(skill!C1114,monster!$A$2:$A$681,0)),Q1114)</f>
        <v>1.2</v>
      </c>
      <c r="Q1114" s="81">
        <v>12</v>
      </c>
      <c r="R1114" s="52">
        <v>150</v>
      </c>
    </row>
    <row r="1115" spans="1:18" x14ac:dyDescent="0.15">
      <c r="A1115" s="53">
        <v>15156</v>
      </c>
      <c r="B1115" s="73" t="s">
        <v>2492</v>
      </c>
      <c r="C1115" s="53">
        <v>2065</v>
      </c>
      <c r="D1115" s="32">
        <v>3</v>
      </c>
      <c r="E1115" s="15">
        <f>INDEX(monster!$H$2:$H$681,MATCH(skill!C1115,monster!$A$2:$A$681,0))</f>
        <v>141.93</v>
      </c>
      <c r="F1115" s="15">
        <f>INDEX(monster!$I$2:$I$681,MATCH(C1115,monster!$A$2:$A$681,0))</f>
        <v>4.26</v>
      </c>
      <c r="G1115" s="70" t="b">
        <v>1</v>
      </c>
      <c r="H1115" s="31">
        <v>1</v>
      </c>
      <c r="I1115" s="15">
        <f>IF(H1115&gt;0,HLOOKUP(R1115/100,数值规划表!$B$37:$AA$39,3),1)</f>
        <v>1.7999999999999998</v>
      </c>
      <c r="J1115" s="31" t="s">
        <v>1627</v>
      </c>
      <c r="K1115" s="15">
        <f>INDEX(数值规划表!$B$15:$B$18,MATCH(J1115,攻击范围,0))</f>
        <v>0.7</v>
      </c>
      <c r="L1115" s="70">
        <v>1</v>
      </c>
      <c r="M1115" s="70">
        <v>1</v>
      </c>
      <c r="N1115" s="15">
        <f t="shared" si="60"/>
        <v>179</v>
      </c>
      <c r="O1115" s="15">
        <f t="shared" si="61"/>
        <v>5.37</v>
      </c>
      <c r="P1115" s="15">
        <f>IF(G1115,INDEX(monster!$J$2:$J$681,MATCH(skill!C1115,monster!$A$2:$A$681,0)),Q1115)</f>
        <v>1.2</v>
      </c>
      <c r="Q1115" s="81">
        <v>12</v>
      </c>
      <c r="R1115" s="52">
        <v>150</v>
      </c>
    </row>
    <row r="1116" spans="1:18" x14ac:dyDescent="0.15">
      <c r="A1116" s="53">
        <v>15157</v>
      </c>
      <c r="B1116" s="73" t="s">
        <v>2493</v>
      </c>
      <c r="C1116" s="53">
        <v>2066</v>
      </c>
      <c r="D1116" s="32">
        <v>4</v>
      </c>
      <c r="E1116" s="15">
        <f>INDEX(monster!$H$2:$H$681,MATCH(skill!C1116,monster!$A$2:$A$681,0))</f>
        <v>158.96</v>
      </c>
      <c r="F1116" s="15">
        <f>INDEX(monster!$I$2:$I$681,MATCH(C1116,monster!$A$2:$A$681,0))</f>
        <v>4.7699999999999996</v>
      </c>
      <c r="G1116" s="70" t="b">
        <v>1</v>
      </c>
      <c r="H1116" s="31">
        <v>1</v>
      </c>
      <c r="I1116" s="15">
        <f>IF(H1116&gt;0,HLOOKUP(R1116/100,数值规划表!$B$37:$AA$39,3),1)</f>
        <v>1.7999999999999998</v>
      </c>
      <c r="J1116" s="31" t="s">
        <v>1627</v>
      </c>
      <c r="K1116" s="15">
        <f>INDEX(数值规划表!$B$15:$B$18,MATCH(J1116,攻击范围,0))</f>
        <v>0.7</v>
      </c>
      <c r="L1116" s="70">
        <v>1</v>
      </c>
      <c r="M1116" s="70">
        <v>1</v>
      </c>
      <c r="N1116" s="15">
        <f t="shared" si="60"/>
        <v>200</v>
      </c>
      <c r="O1116" s="15">
        <f t="shared" si="61"/>
        <v>6.01</v>
      </c>
      <c r="P1116" s="15">
        <f>IF(G1116,INDEX(monster!$J$2:$J$681,MATCH(skill!C1116,monster!$A$2:$A$681,0)),Q1116)</f>
        <v>1.2</v>
      </c>
      <c r="Q1116" s="81">
        <v>12</v>
      </c>
      <c r="R1116" s="52">
        <v>150</v>
      </c>
    </row>
    <row r="1117" spans="1:18" x14ac:dyDescent="0.15">
      <c r="A1117" s="53">
        <v>15158</v>
      </c>
      <c r="B1117" s="73" t="s">
        <v>2494</v>
      </c>
      <c r="C1117" s="53">
        <v>2067</v>
      </c>
      <c r="D1117" s="32">
        <v>5</v>
      </c>
      <c r="E1117" s="15">
        <f>INDEX(monster!$H$2:$H$681,MATCH(skill!C1117,monster!$A$2:$A$681,0))</f>
        <v>178.03</v>
      </c>
      <c r="F1117" s="15">
        <f>INDEX(monster!$I$2:$I$681,MATCH(C1117,monster!$A$2:$A$681,0))</f>
        <v>5.34</v>
      </c>
      <c r="G1117" s="70" t="b">
        <v>1</v>
      </c>
      <c r="H1117" s="31">
        <v>1</v>
      </c>
      <c r="I1117" s="15">
        <f>IF(H1117&gt;0,HLOOKUP(R1117/100,数值规划表!$B$37:$AA$39,3),1)</f>
        <v>1.7999999999999998</v>
      </c>
      <c r="J1117" s="31" t="s">
        <v>1627</v>
      </c>
      <c r="K1117" s="15">
        <f>INDEX(数值规划表!$B$15:$B$18,MATCH(J1117,攻击范围,0))</f>
        <v>0.7</v>
      </c>
      <c r="L1117" s="70">
        <v>1</v>
      </c>
      <c r="M1117" s="70">
        <v>1</v>
      </c>
      <c r="N1117" s="15">
        <f t="shared" si="60"/>
        <v>224</v>
      </c>
      <c r="O1117" s="15">
        <f t="shared" si="61"/>
        <v>6.73</v>
      </c>
      <c r="P1117" s="15">
        <f>IF(G1117,INDEX(monster!$J$2:$J$681,MATCH(skill!C1117,monster!$A$2:$A$681,0)),Q1117)</f>
        <v>1.2</v>
      </c>
      <c r="Q1117" s="81">
        <v>12</v>
      </c>
      <c r="R1117" s="52">
        <v>150</v>
      </c>
    </row>
    <row r="1118" spans="1:18" x14ac:dyDescent="0.15">
      <c r="A1118" s="53">
        <v>15159</v>
      </c>
      <c r="B1118" s="73" t="s">
        <v>2495</v>
      </c>
      <c r="C1118" s="53">
        <v>2068</v>
      </c>
      <c r="D1118" s="32">
        <v>6</v>
      </c>
      <c r="E1118" s="15">
        <f>INDEX(monster!$H$2:$H$681,MATCH(skill!C1118,monster!$A$2:$A$681,0))</f>
        <v>199.4</v>
      </c>
      <c r="F1118" s="15">
        <f>INDEX(monster!$I$2:$I$681,MATCH(C1118,monster!$A$2:$A$681,0))</f>
        <v>5.98</v>
      </c>
      <c r="G1118" s="70" t="b">
        <v>1</v>
      </c>
      <c r="H1118" s="31">
        <v>1</v>
      </c>
      <c r="I1118" s="15">
        <f>IF(H1118&gt;0,HLOOKUP(R1118/100,数值规划表!$B$37:$AA$39,3),1)</f>
        <v>1.7999999999999998</v>
      </c>
      <c r="J1118" s="31" t="s">
        <v>1627</v>
      </c>
      <c r="K1118" s="15">
        <f>INDEX(数值规划表!$B$15:$B$18,MATCH(J1118,攻击范围,0))</f>
        <v>0.7</v>
      </c>
      <c r="L1118" s="70">
        <v>1</v>
      </c>
      <c r="M1118" s="70">
        <v>1</v>
      </c>
      <c r="N1118" s="15">
        <f t="shared" si="60"/>
        <v>251</v>
      </c>
      <c r="O1118" s="15">
        <f t="shared" si="61"/>
        <v>7.53</v>
      </c>
      <c r="P1118" s="15">
        <f>IF(G1118,INDEX(monster!$J$2:$J$681,MATCH(skill!C1118,monster!$A$2:$A$681,0)),Q1118)</f>
        <v>1.2</v>
      </c>
      <c r="Q1118" s="81">
        <v>12</v>
      </c>
      <c r="R1118" s="52">
        <v>150</v>
      </c>
    </row>
    <row r="1119" spans="1:18" x14ac:dyDescent="0.15">
      <c r="A1119" s="53">
        <v>15160</v>
      </c>
      <c r="B1119" s="73" t="s">
        <v>2496</v>
      </c>
      <c r="C1119" s="53">
        <v>2069</v>
      </c>
      <c r="D1119" s="32">
        <v>7</v>
      </c>
      <c r="E1119" s="15">
        <f>INDEX(monster!$H$2:$H$681,MATCH(skill!C1119,monster!$A$2:$A$681,0))</f>
        <v>223.32</v>
      </c>
      <c r="F1119" s="15">
        <f>INDEX(monster!$I$2:$I$681,MATCH(C1119,monster!$A$2:$A$681,0))</f>
        <v>6.7</v>
      </c>
      <c r="G1119" s="70" t="b">
        <v>1</v>
      </c>
      <c r="H1119" s="31">
        <v>1</v>
      </c>
      <c r="I1119" s="15">
        <f>IF(H1119&gt;0,HLOOKUP(R1119/100,数值规划表!$B$37:$AA$39,3),1)</f>
        <v>1.7999999999999998</v>
      </c>
      <c r="J1119" s="31" t="s">
        <v>1627</v>
      </c>
      <c r="K1119" s="15">
        <f>INDEX(数值规划表!$B$15:$B$18,MATCH(J1119,攻击范围,0))</f>
        <v>0.7</v>
      </c>
      <c r="L1119" s="70">
        <v>1</v>
      </c>
      <c r="M1119" s="70">
        <v>1</v>
      </c>
      <c r="N1119" s="15">
        <f t="shared" si="60"/>
        <v>281</v>
      </c>
      <c r="O1119" s="15">
        <f t="shared" si="61"/>
        <v>8.44</v>
      </c>
      <c r="P1119" s="15">
        <f>IF(G1119,INDEX(monster!$J$2:$J$681,MATCH(skill!C1119,monster!$A$2:$A$681,0)),Q1119)</f>
        <v>1.2</v>
      </c>
      <c r="Q1119" s="81">
        <v>12</v>
      </c>
      <c r="R1119" s="52">
        <v>150</v>
      </c>
    </row>
    <row r="1120" spans="1:18" x14ac:dyDescent="0.15">
      <c r="A1120" s="53">
        <v>15161</v>
      </c>
      <c r="B1120" s="73" t="s">
        <v>2497</v>
      </c>
      <c r="C1120" s="53">
        <v>2070</v>
      </c>
      <c r="D1120" s="32">
        <v>8</v>
      </c>
      <c r="E1120" s="15">
        <f>INDEX(monster!$H$2:$H$681,MATCH(skill!C1120,monster!$A$2:$A$681,0))</f>
        <v>250.12</v>
      </c>
      <c r="F1120" s="15">
        <f>INDEX(monster!$I$2:$I$681,MATCH(C1120,monster!$A$2:$A$681,0))</f>
        <v>7.5</v>
      </c>
      <c r="G1120" s="70" t="b">
        <v>1</v>
      </c>
      <c r="H1120" s="31">
        <v>1</v>
      </c>
      <c r="I1120" s="15">
        <f>IF(H1120&gt;0,HLOOKUP(R1120/100,数值规划表!$B$37:$AA$39,3),1)</f>
        <v>1.7999999999999998</v>
      </c>
      <c r="J1120" s="31" t="s">
        <v>1627</v>
      </c>
      <c r="K1120" s="15">
        <f>INDEX(数值规划表!$B$15:$B$18,MATCH(J1120,攻击范围,0))</f>
        <v>0.7</v>
      </c>
      <c r="L1120" s="70">
        <v>1</v>
      </c>
      <c r="M1120" s="70">
        <v>1</v>
      </c>
      <c r="N1120" s="15">
        <f t="shared" si="60"/>
        <v>315</v>
      </c>
      <c r="O1120" s="15">
        <f t="shared" si="61"/>
        <v>9.4499999999999993</v>
      </c>
      <c r="P1120" s="15">
        <f>IF(G1120,INDEX(monster!$J$2:$J$681,MATCH(skill!C1120,monster!$A$2:$A$681,0)),Q1120)</f>
        <v>1.2</v>
      </c>
      <c r="Q1120" s="81">
        <v>12</v>
      </c>
      <c r="R1120" s="52">
        <v>150</v>
      </c>
    </row>
    <row r="1121" spans="1:18" x14ac:dyDescent="0.15">
      <c r="A1121" s="53">
        <v>15162</v>
      </c>
      <c r="B1121" s="73" t="s">
        <v>2498</v>
      </c>
      <c r="C1121" s="53">
        <v>2071</v>
      </c>
      <c r="D1121" s="32">
        <v>9</v>
      </c>
      <c r="E1121" s="15">
        <f>INDEX(monster!$H$2:$H$681,MATCH(skill!C1121,monster!$A$2:$A$681,0))</f>
        <v>280.14</v>
      </c>
      <c r="F1121" s="15">
        <f>INDEX(monster!$I$2:$I$681,MATCH(C1121,monster!$A$2:$A$681,0))</f>
        <v>8.4</v>
      </c>
      <c r="G1121" s="70" t="b">
        <v>1</v>
      </c>
      <c r="H1121" s="31">
        <v>1</v>
      </c>
      <c r="I1121" s="15">
        <f>IF(H1121&gt;0,HLOOKUP(R1121/100,数值规划表!$B$37:$AA$39,3),1)</f>
        <v>1.7999999999999998</v>
      </c>
      <c r="J1121" s="31" t="s">
        <v>1627</v>
      </c>
      <c r="K1121" s="15">
        <f>INDEX(数值规划表!$B$15:$B$18,MATCH(J1121,攻击范围,0))</f>
        <v>0.7</v>
      </c>
      <c r="L1121" s="70">
        <v>1</v>
      </c>
      <c r="M1121" s="70">
        <v>1</v>
      </c>
      <c r="N1121" s="15">
        <f t="shared" si="60"/>
        <v>353</v>
      </c>
      <c r="O1121" s="15">
        <f t="shared" si="61"/>
        <v>10.58</v>
      </c>
      <c r="P1121" s="15">
        <f>IF(G1121,INDEX(monster!$J$2:$J$681,MATCH(skill!C1121,monster!$A$2:$A$681,0)),Q1121)</f>
        <v>1.2</v>
      </c>
      <c r="Q1121" s="81">
        <v>12</v>
      </c>
      <c r="R1121" s="52">
        <v>150</v>
      </c>
    </row>
    <row r="1122" spans="1:18" x14ac:dyDescent="0.15">
      <c r="A1122" s="53">
        <v>15163</v>
      </c>
      <c r="B1122" s="73" t="s">
        <v>2499</v>
      </c>
      <c r="C1122" s="53">
        <v>2072</v>
      </c>
      <c r="D1122" s="32">
        <v>10</v>
      </c>
      <c r="E1122" s="15">
        <f>INDEX(monster!$H$2:$H$681,MATCH(skill!C1122,monster!$A$2:$A$681,0))</f>
        <v>313.75</v>
      </c>
      <c r="F1122" s="15">
        <f>INDEX(monster!$I$2:$I$681,MATCH(C1122,monster!$A$2:$A$681,0))</f>
        <v>9.41</v>
      </c>
      <c r="G1122" s="70" t="b">
        <v>1</v>
      </c>
      <c r="H1122" s="31">
        <v>1</v>
      </c>
      <c r="I1122" s="15">
        <f>IF(H1122&gt;0,HLOOKUP(R1122/100,数值规划表!$B$37:$AA$39,3),1)</f>
        <v>1.7999999999999998</v>
      </c>
      <c r="J1122" s="31" t="s">
        <v>1627</v>
      </c>
      <c r="K1122" s="15">
        <f>INDEX(数值规划表!$B$15:$B$18,MATCH(J1122,攻击范围,0))</f>
        <v>0.7</v>
      </c>
      <c r="L1122" s="70">
        <v>1</v>
      </c>
      <c r="M1122" s="70">
        <v>1</v>
      </c>
      <c r="N1122" s="15">
        <f t="shared" si="60"/>
        <v>395</v>
      </c>
      <c r="O1122" s="15">
        <f t="shared" si="61"/>
        <v>11.86</v>
      </c>
      <c r="P1122" s="15">
        <f>IF(G1122,INDEX(monster!$J$2:$J$681,MATCH(skill!C1122,monster!$A$2:$A$681,0)),Q1122)</f>
        <v>1.2</v>
      </c>
      <c r="Q1122" s="81">
        <v>12</v>
      </c>
      <c r="R1122" s="52">
        <v>150</v>
      </c>
    </row>
    <row r="1123" spans="1:18" x14ac:dyDescent="0.15">
      <c r="A1123" s="53">
        <v>15170</v>
      </c>
      <c r="B1123" s="73" t="s">
        <v>2501</v>
      </c>
      <c r="C1123" s="53">
        <v>2062</v>
      </c>
      <c r="D1123" s="32">
        <v>0</v>
      </c>
      <c r="E1123" s="15">
        <f>INDEX(monster!$H$2:$H$681,MATCH(skill!C1123,monster!$A$2:$A$681,0))</f>
        <v>101.02</v>
      </c>
      <c r="F1123" s="15">
        <f>INDEX(monster!$I$2:$I$681,MATCH(C1123,monster!$A$2:$A$681,0))</f>
        <v>3.03</v>
      </c>
      <c r="G1123" s="70" t="b">
        <v>1</v>
      </c>
      <c r="H1123" s="31">
        <v>1</v>
      </c>
      <c r="I1123" s="15">
        <f>IF(H1123&gt;0,HLOOKUP(R1123/100,数值规划表!$B$37:$AA$39,3),1)</f>
        <v>1.7999999999999998</v>
      </c>
      <c r="J1123" s="31" t="s">
        <v>1628</v>
      </c>
      <c r="K1123" s="15">
        <f>INDEX(数值规划表!$B$15:$B$18,MATCH(J1123,攻击范围,0))</f>
        <v>0.5</v>
      </c>
      <c r="L1123" s="70">
        <v>1</v>
      </c>
      <c r="M1123" s="70">
        <v>1</v>
      </c>
      <c r="N1123" s="15">
        <f t="shared" si="60"/>
        <v>91</v>
      </c>
      <c r="O1123" s="15">
        <f t="shared" si="61"/>
        <v>2.73</v>
      </c>
      <c r="P1123" s="15">
        <f>IF(G1123,INDEX(monster!$J$2:$J$681,MATCH(skill!C1123,monster!$A$2:$A$681,0)),Q1123)</f>
        <v>1.2</v>
      </c>
      <c r="Q1123" s="81">
        <v>12</v>
      </c>
      <c r="R1123" s="52">
        <v>150</v>
      </c>
    </row>
    <row r="1124" spans="1:18" x14ac:dyDescent="0.15">
      <c r="A1124" s="53">
        <v>15171</v>
      </c>
      <c r="B1124" s="73" t="s">
        <v>2502</v>
      </c>
      <c r="C1124" s="53">
        <v>2063</v>
      </c>
      <c r="D1124" s="32">
        <v>1</v>
      </c>
      <c r="E1124" s="15">
        <f>INDEX(monster!$H$2:$H$681,MATCH(skill!C1124,monster!$A$2:$A$681,0))</f>
        <v>113.14</v>
      </c>
      <c r="F1124" s="15">
        <f>INDEX(monster!$I$2:$I$681,MATCH(C1124,monster!$A$2:$A$681,0))</f>
        <v>3.39</v>
      </c>
      <c r="G1124" s="70" t="b">
        <v>1</v>
      </c>
      <c r="H1124" s="31">
        <v>1</v>
      </c>
      <c r="I1124" s="15">
        <f>IF(H1124&gt;0,HLOOKUP(R1124/100,数值规划表!$B$37:$AA$39,3),1)</f>
        <v>1.7999999999999998</v>
      </c>
      <c r="J1124" s="31" t="s">
        <v>1628</v>
      </c>
      <c r="K1124" s="15">
        <f>INDEX(数值规划表!$B$15:$B$18,MATCH(J1124,攻击范围,0))</f>
        <v>0.5</v>
      </c>
      <c r="L1124" s="70">
        <v>1</v>
      </c>
      <c r="M1124" s="70">
        <v>1</v>
      </c>
      <c r="N1124" s="15">
        <f t="shared" si="60"/>
        <v>102</v>
      </c>
      <c r="O1124" s="15">
        <f t="shared" si="61"/>
        <v>3.05</v>
      </c>
      <c r="P1124" s="15">
        <f>IF(G1124,INDEX(monster!$J$2:$J$681,MATCH(skill!C1124,monster!$A$2:$A$681,0)),Q1124)</f>
        <v>1.2</v>
      </c>
      <c r="Q1124" s="81">
        <v>12</v>
      </c>
      <c r="R1124" s="52">
        <v>150</v>
      </c>
    </row>
    <row r="1125" spans="1:18" x14ac:dyDescent="0.15">
      <c r="A1125" s="53">
        <v>15172</v>
      </c>
      <c r="B1125" s="73" t="s">
        <v>2503</v>
      </c>
      <c r="C1125" s="53">
        <v>2064</v>
      </c>
      <c r="D1125" s="32">
        <v>2</v>
      </c>
      <c r="E1125" s="15">
        <f>INDEX(monster!$H$2:$H$681,MATCH(skill!C1125,monster!$A$2:$A$681,0))</f>
        <v>126.72</v>
      </c>
      <c r="F1125" s="15">
        <f>INDEX(monster!$I$2:$I$681,MATCH(C1125,monster!$A$2:$A$681,0))</f>
        <v>3.8</v>
      </c>
      <c r="G1125" s="70" t="b">
        <v>1</v>
      </c>
      <c r="H1125" s="31">
        <v>1</v>
      </c>
      <c r="I1125" s="15">
        <f>IF(H1125&gt;0,HLOOKUP(R1125/100,数值规划表!$B$37:$AA$39,3),1)</f>
        <v>1.7999999999999998</v>
      </c>
      <c r="J1125" s="31" t="s">
        <v>1628</v>
      </c>
      <c r="K1125" s="15">
        <f>INDEX(数值规划表!$B$15:$B$18,MATCH(J1125,攻击范围,0))</f>
        <v>0.5</v>
      </c>
      <c r="L1125" s="70">
        <v>1</v>
      </c>
      <c r="M1125" s="70">
        <v>1</v>
      </c>
      <c r="N1125" s="15">
        <f t="shared" si="60"/>
        <v>114</v>
      </c>
      <c r="O1125" s="15">
        <f t="shared" si="61"/>
        <v>3.42</v>
      </c>
      <c r="P1125" s="15">
        <f>IF(G1125,INDEX(monster!$J$2:$J$681,MATCH(skill!C1125,monster!$A$2:$A$681,0)),Q1125)</f>
        <v>1.2</v>
      </c>
      <c r="Q1125" s="81">
        <v>12</v>
      </c>
      <c r="R1125" s="52">
        <v>150</v>
      </c>
    </row>
    <row r="1126" spans="1:18" x14ac:dyDescent="0.15">
      <c r="A1126" s="53">
        <v>15173</v>
      </c>
      <c r="B1126" s="73" t="s">
        <v>2504</v>
      </c>
      <c r="C1126" s="53">
        <v>2065</v>
      </c>
      <c r="D1126" s="32">
        <v>3</v>
      </c>
      <c r="E1126" s="15">
        <f>INDEX(monster!$H$2:$H$681,MATCH(skill!C1126,monster!$A$2:$A$681,0))</f>
        <v>141.93</v>
      </c>
      <c r="F1126" s="15">
        <f>INDEX(monster!$I$2:$I$681,MATCH(C1126,monster!$A$2:$A$681,0))</f>
        <v>4.26</v>
      </c>
      <c r="G1126" s="70" t="b">
        <v>1</v>
      </c>
      <c r="H1126" s="31">
        <v>1</v>
      </c>
      <c r="I1126" s="15">
        <f>IF(H1126&gt;0,HLOOKUP(R1126/100,数值规划表!$B$37:$AA$39,3),1)</f>
        <v>1.7999999999999998</v>
      </c>
      <c r="J1126" s="31" t="s">
        <v>1628</v>
      </c>
      <c r="K1126" s="15">
        <f>INDEX(数值规划表!$B$15:$B$18,MATCH(J1126,攻击范围,0))</f>
        <v>0.5</v>
      </c>
      <c r="L1126" s="70">
        <v>1</v>
      </c>
      <c r="M1126" s="70">
        <v>1</v>
      </c>
      <c r="N1126" s="15">
        <f t="shared" si="60"/>
        <v>128</v>
      </c>
      <c r="O1126" s="15">
        <f t="shared" si="61"/>
        <v>3.83</v>
      </c>
      <c r="P1126" s="15">
        <f>IF(G1126,INDEX(monster!$J$2:$J$681,MATCH(skill!C1126,monster!$A$2:$A$681,0)),Q1126)</f>
        <v>1.2</v>
      </c>
      <c r="Q1126" s="81">
        <v>12</v>
      </c>
      <c r="R1126" s="52">
        <v>150</v>
      </c>
    </row>
    <row r="1127" spans="1:18" x14ac:dyDescent="0.15">
      <c r="A1127" s="53">
        <v>15174</v>
      </c>
      <c r="B1127" s="73" t="s">
        <v>2505</v>
      </c>
      <c r="C1127" s="53">
        <v>2066</v>
      </c>
      <c r="D1127" s="32">
        <v>4</v>
      </c>
      <c r="E1127" s="15">
        <f>INDEX(monster!$H$2:$H$681,MATCH(skill!C1127,monster!$A$2:$A$681,0))</f>
        <v>158.96</v>
      </c>
      <c r="F1127" s="15">
        <f>INDEX(monster!$I$2:$I$681,MATCH(C1127,monster!$A$2:$A$681,0))</f>
        <v>4.7699999999999996</v>
      </c>
      <c r="G1127" s="70" t="b">
        <v>1</v>
      </c>
      <c r="H1127" s="31">
        <v>1</v>
      </c>
      <c r="I1127" s="15">
        <f>IF(H1127&gt;0,HLOOKUP(R1127/100,数值规划表!$B$37:$AA$39,3),1)</f>
        <v>1.7999999999999998</v>
      </c>
      <c r="J1127" s="31" t="s">
        <v>1628</v>
      </c>
      <c r="K1127" s="15">
        <f>INDEX(数值规划表!$B$15:$B$18,MATCH(J1127,攻击范围,0))</f>
        <v>0.5</v>
      </c>
      <c r="L1127" s="70">
        <v>1</v>
      </c>
      <c r="M1127" s="70">
        <v>1</v>
      </c>
      <c r="N1127" s="15">
        <f t="shared" si="60"/>
        <v>143</v>
      </c>
      <c r="O1127" s="15">
        <f t="shared" si="61"/>
        <v>4.29</v>
      </c>
      <c r="P1127" s="15">
        <f>IF(G1127,INDEX(monster!$J$2:$J$681,MATCH(skill!C1127,monster!$A$2:$A$681,0)),Q1127)</f>
        <v>1.2</v>
      </c>
      <c r="Q1127" s="81">
        <v>12</v>
      </c>
      <c r="R1127" s="52">
        <v>150</v>
      </c>
    </row>
    <row r="1128" spans="1:18" x14ac:dyDescent="0.15">
      <c r="A1128" s="53">
        <v>15175</v>
      </c>
      <c r="B1128" s="73" t="s">
        <v>2506</v>
      </c>
      <c r="C1128" s="53">
        <v>2067</v>
      </c>
      <c r="D1128" s="32">
        <v>5</v>
      </c>
      <c r="E1128" s="15">
        <f>INDEX(monster!$H$2:$H$681,MATCH(skill!C1128,monster!$A$2:$A$681,0))</f>
        <v>178.03</v>
      </c>
      <c r="F1128" s="15">
        <f>INDEX(monster!$I$2:$I$681,MATCH(C1128,monster!$A$2:$A$681,0))</f>
        <v>5.34</v>
      </c>
      <c r="G1128" s="70" t="b">
        <v>1</v>
      </c>
      <c r="H1128" s="31">
        <v>1</v>
      </c>
      <c r="I1128" s="15">
        <f>IF(H1128&gt;0,HLOOKUP(R1128/100,数值规划表!$B$37:$AA$39,3),1)</f>
        <v>1.7999999999999998</v>
      </c>
      <c r="J1128" s="31" t="s">
        <v>1628</v>
      </c>
      <c r="K1128" s="15">
        <f>INDEX(数值规划表!$B$15:$B$18,MATCH(J1128,攻击范围,0))</f>
        <v>0.5</v>
      </c>
      <c r="L1128" s="70">
        <v>1</v>
      </c>
      <c r="M1128" s="70">
        <v>1</v>
      </c>
      <c r="N1128" s="15">
        <f t="shared" si="60"/>
        <v>160</v>
      </c>
      <c r="O1128" s="15">
        <f t="shared" si="61"/>
        <v>4.8099999999999996</v>
      </c>
      <c r="P1128" s="15">
        <f>IF(G1128,INDEX(monster!$J$2:$J$681,MATCH(skill!C1128,monster!$A$2:$A$681,0)),Q1128)</f>
        <v>1.2</v>
      </c>
      <c r="Q1128" s="81">
        <v>12</v>
      </c>
      <c r="R1128" s="52">
        <v>150</v>
      </c>
    </row>
    <row r="1129" spans="1:18" x14ac:dyDescent="0.15">
      <c r="A1129" s="53">
        <v>15176</v>
      </c>
      <c r="B1129" s="73" t="s">
        <v>2507</v>
      </c>
      <c r="C1129" s="53">
        <v>2068</v>
      </c>
      <c r="D1129" s="32">
        <v>6</v>
      </c>
      <c r="E1129" s="15">
        <f>INDEX(monster!$H$2:$H$681,MATCH(skill!C1129,monster!$A$2:$A$681,0))</f>
        <v>199.4</v>
      </c>
      <c r="F1129" s="15">
        <f>INDEX(monster!$I$2:$I$681,MATCH(C1129,monster!$A$2:$A$681,0))</f>
        <v>5.98</v>
      </c>
      <c r="G1129" s="70" t="b">
        <v>1</v>
      </c>
      <c r="H1129" s="31">
        <v>1</v>
      </c>
      <c r="I1129" s="15">
        <f>IF(H1129&gt;0,HLOOKUP(R1129/100,数值规划表!$B$37:$AA$39,3),1)</f>
        <v>1.7999999999999998</v>
      </c>
      <c r="J1129" s="31" t="s">
        <v>1628</v>
      </c>
      <c r="K1129" s="15">
        <f>INDEX(数值规划表!$B$15:$B$18,MATCH(J1129,攻击范围,0))</f>
        <v>0.5</v>
      </c>
      <c r="L1129" s="70">
        <v>1</v>
      </c>
      <c r="M1129" s="70">
        <v>1</v>
      </c>
      <c r="N1129" s="15">
        <f t="shared" si="60"/>
        <v>179</v>
      </c>
      <c r="O1129" s="15">
        <f t="shared" si="61"/>
        <v>5.38</v>
      </c>
      <c r="P1129" s="15">
        <f>IF(G1129,INDEX(monster!$J$2:$J$681,MATCH(skill!C1129,monster!$A$2:$A$681,0)),Q1129)</f>
        <v>1.2</v>
      </c>
      <c r="Q1129" s="81">
        <v>12</v>
      </c>
      <c r="R1129" s="52">
        <v>150</v>
      </c>
    </row>
    <row r="1130" spans="1:18" x14ac:dyDescent="0.15">
      <c r="A1130" s="53">
        <v>15177</v>
      </c>
      <c r="B1130" s="73" t="s">
        <v>2508</v>
      </c>
      <c r="C1130" s="53">
        <v>2069</v>
      </c>
      <c r="D1130" s="32">
        <v>7</v>
      </c>
      <c r="E1130" s="15">
        <f>INDEX(monster!$H$2:$H$681,MATCH(skill!C1130,monster!$A$2:$A$681,0))</f>
        <v>223.32</v>
      </c>
      <c r="F1130" s="15">
        <f>INDEX(monster!$I$2:$I$681,MATCH(C1130,monster!$A$2:$A$681,0))</f>
        <v>6.7</v>
      </c>
      <c r="G1130" s="70" t="b">
        <v>1</v>
      </c>
      <c r="H1130" s="31">
        <v>1</v>
      </c>
      <c r="I1130" s="15">
        <f>IF(H1130&gt;0,HLOOKUP(R1130/100,数值规划表!$B$37:$AA$39,3),1)</f>
        <v>1.7999999999999998</v>
      </c>
      <c r="J1130" s="31" t="s">
        <v>1628</v>
      </c>
      <c r="K1130" s="15">
        <f>INDEX(数值规划表!$B$15:$B$18,MATCH(J1130,攻击范围,0))</f>
        <v>0.5</v>
      </c>
      <c r="L1130" s="70">
        <v>1</v>
      </c>
      <c r="M1130" s="70">
        <v>1</v>
      </c>
      <c r="N1130" s="15">
        <f t="shared" si="60"/>
        <v>201</v>
      </c>
      <c r="O1130" s="15">
        <f t="shared" si="61"/>
        <v>6.03</v>
      </c>
      <c r="P1130" s="15">
        <f>IF(G1130,INDEX(monster!$J$2:$J$681,MATCH(skill!C1130,monster!$A$2:$A$681,0)),Q1130)</f>
        <v>1.2</v>
      </c>
      <c r="Q1130" s="81">
        <v>12</v>
      </c>
      <c r="R1130" s="52">
        <v>150</v>
      </c>
    </row>
    <row r="1131" spans="1:18" x14ac:dyDescent="0.15">
      <c r="A1131" s="53">
        <v>15178</v>
      </c>
      <c r="B1131" s="73" t="s">
        <v>2509</v>
      </c>
      <c r="C1131" s="53">
        <v>2070</v>
      </c>
      <c r="D1131" s="32">
        <v>8</v>
      </c>
      <c r="E1131" s="15">
        <f>INDEX(monster!$H$2:$H$681,MATCH(skill!C1131,monster!$A$2:$A$681,0))</f>
        <v>250.12</v>
      </c>
      <c r="F1131" s="15">
        <f>INDEX(monster!$I$2:$I$681,MATCH(C1131,monster!$A$2:$A$681,0))</f>
        <v>7.5</v>
      </c>
      <c r="G1131" s="70" t="b">
        <v>1</v>
      </c>
      <c r="H1131" s="31">
        <v>1</v>
      </c>
      <c r="I1131" s="15">
        <f>IF(H1131&gt;0,HLOOKUP(R1131/100,数值规划表!$B$37:$AA$39,3),1)</f>
        <v>1.7999999999999998</v>
      </c>
      <c r="J1131" s="31" t="s">
        <v>1628</v>
      </c>
      <c r="K1131" s="15">
        <f>INDEX(数值规划表!$B$15:$B$18,MATCH(J1131,攻击范围,0))</f>
        <v>0.5</v>
      </c>
      <c r="L1131" s="70">
        <v>1</v>
      </c>
      <c r="M1131" s="70">
        <v>1</v>
      </c>
      <c r="N1131" s="15">
        <f t="shared" si="60"/>
        <v>225</v>
      </c>
      <c r="O1131" s="15">
        <f t="shared" si="61"/>
        <v>6.75</v>
      </c>
      <c r="P1131" s="15">
        <f>IF(G1131,INDEX(monster!$J$2:$J$681,MATCH(skill!C1131,monster!$A$2:$A$681,0)),Q1131)</f>
        <v>1.2</v>
      </c>
      <c r="Q1131" s="81">
        <v>12</v>
      </c>
      <c r="R1131" s="52">
        <v>150</v>
      </c>
    </row>
    <row r="1132" spans="1:18" x14ac:dyDescent="0.15">
      <c r="A1132" s="53">
        <v>15179</v>
      </c>
      <c r="B1132" s="73" t="s">
        <v>2510</v>
      </c>
      <c r="C1132" s="53">
        <v>2071</v>
      </c>
      <c r="D1132" s="32">
        <v>9</v>
      </c>
      <c r="E1132" s="15">
        <f>INDEX(monster!$H$2:$H$681,MATCH(skill!C1132,monster!$A$2:$A$681,0))</f>
        <v>280.14</v>
      </c>
      <c r="F1132" s="15">
        <f>INDEX(monster!$I$2:$I$681,MATCH(C1132,monster!$A$2:$A$681,0))</f>
        <v>8.4</v>
      </c>
      <c r="G1132" s="70" t="b">
        <v>1</v>
      </c>
      <c r="H1132" s="31">
        <v>1</v>
      </c>
      <c r="I1132" s="15">
        <f>IF(H1132&gt;0,HLOOKUP(R1132/100,数值规划表!$B$37:$AA$39,3),1)</f>
        <v>1.7999999999999998</v>
      </c>
      <c r="J1132" s="31" t="s">
        <v>1628</v>
      </c>
      <c r="K1132" s="15">
        <f>INDEX(数值规划表!$B$15:$B$18,MATCH(J1132,攻击范围,0))</f>
        <v>0.5</v>
      </c>
      <c r="L1132" s="70">
        <v>1</v>
      </c>
      <c r="M1132" s="70">
        <v>1</v>
      </c>
      <c r="N1132" s="15">
        <f t="shared" si="60"/>
        <v>252</v>
      </c>
      <c r="O1132" s="15">
        <f t="shared" si="61"/>
        <v>7.56</v>
      </c>
      <c r="P1132" s="15">
        <f>IF(G1132,INDEX(monster!$J$2:$J$681,MATCH(skill!C1132,monster!$A$2:$A$681,0)),Q1132)</f>
        <v>1.2</v>
      </c>
      <c r="Q1132" s="81">
        <v>12</v>
      </c>
      <c r="R1132" s="52">
        <v>150</v>
      </c>
    </row>
    <row r="1133" spans="1:18" x14ac:dyDescent="0.15">
      <c r="A1133" s="53">
        <v>15180</v>
      </c>
      <c r="B1133" s="73" t="s">
        <v>2511</v>
      </c>
      <c r="C1133" s="53">
        <v>2072</v>
      </c>
      <c r="D1133" s="32">
        <v>10</v>
      </c>
      <c r="E1133" s="15">
        <f>INDEX(monster!$H$2:$H$681,MATCH(skill!C1133,monster!$A$2:$A$681,0))</f>
        <v>313.75</v>
      </c>
      <c r="F1133" s="15">
        <f>INDEX(monster!$I$2:$I$681,MATCH(C1133,monster!$A$2:$A$681,0))</f>
        <v>9.41</v>
      </c>
      <c r="G1133" s="70" t="b">
        <v>1</v>
      </c>
      <c r="H1133" s="31">
        <v>1</v>
      </c>
      <c r="I1133" s="15">
        <f>IF(H1133&gt;0,HLOOKUP(R1133/100,数值规划表!$B$37:$AA$39,3),1)</f>
        <v>1.7999999999999998</v>
      </c>
      <c r="J1133" s="31" t="s">
        <v>1628</v>
      </c>
      <c r="K1133" s="15">
        <f>INDEX(数值规划表!$B$15:$B$18,MATCH(J1133,攻击范围,0))</f>
        <v>0.5</v>
      </c>
      <c r="L1133" s="70">
        <v>1</v>
      </c>
      <c r="M1133" s="70">
        <v>1</v>
      </c>
      <c r="N1133" s="15">
        <f t="shared" si="60"/>
        <v>282</v>
      </c>
      <c r="O1133" s="15">
        <f t="shared" si="61"/>
        <v>8.4700000000000006</v>
      </c>
      <c r="P1133" s="15">
        <f>IF(G1133,INDEX(monster!$J$2:$J$681,MATCH(skill!C1133,monster!$A$2:$A$681,0)),Q1133)</f>
        <v>1.2</v>
      </c>
      <c r="Q1133" s="81">
        <v>12</v>
      </c>
      <c r="R1133" s="52">
        <v>150</v>
      </c>
    </row>
    <row r="1134" spans="1:18" x14ac:dyDescent="0.15">
      <c r="A1134" s="53">
        <v>15243</v>
      </c>
      <c r="B1134" s="79" t="s">
        <v>2703</v>
      </c>
      <c r="C1134" s="53">
        <v>2075</v>
      </c>
      <c r="D1134" s="32">
        <v>0</v>
      </c>
      <c r="E1134" s="15">
        <f>INDEX(monster!$H$2:$H$681,MATCH(skill!C1134,monster!$A$2:$A$681,0))</f>
        <v>47.15</v>
      </c>
      <c r="F1134" s="15">
        <f>INDEX(monster!$I$2:$I$681,MATCH(C1134,monster!$A$2:$A$681,0))</f>
        <v>1.41</v>
      </c>
      <c r="G1134" s="70" t="b">
        <v>1</v>
      </c>
      <c r="H1134" s="31">
        <v>1</v>
      </c>
      <c r="I1134" s="15">
        <f>IF(H1134&gt;0,HLOOKUP(R1134/100,数值规划表!$B$37:$AA$39,3),1)</f>
        <v>1.296</v>
      </c>
      <c r="J1134" s="31" t="s">
        <v>1625</v>
      </c>
      <c r="K1134" s="15">
        <f>INDEX(数值规划表!$B$15:$B$18,MATCH(J1134,攻击范围,0))</f>
        <v>1</v>
      </c>
      <c r="L1134" s="30">
        <v>0.75</v>
      </c>
      <c r="M1134" s="70">
        <v>1</v>
      </c>
      <c r="N1134" s="15">
        <f t="shared" si="60"/>
        <v>46</v>
      </c>
      <c r="O1134" s="15">
        <f t="shared" si="61"/>
        <v>1.37</v>
      </c>
      <c r="P1134" s="15">
        <f>IF(G1134,INDEX(monster!$J$2:$J$681,MATCH(skill!C1134,monster!$A$2:$A$681,0)),Q1134)</f>
        <v>5</v>
      </c>
      <c r="R1134" s="80">
        <v>120</v>
      </c>
    </row>
    <row r="1135" spans="1:18" x14ac:dyDescent="0.15">
      <c r="A1135" s="53">
        <v>15244</v>
      </c>
      <c r="B1135" s="79" t="s">
        <v>2704</v>
      </c>
      <c r="C1135" s="53">
        <v>2076</v>
      </c>
      <c r="D1135" s="32">
        <v>1</v>
      </c>
      <c r="E1135" s="15">
        <f>INDEX(monster!$H$2:$H$681,MATCH(skill!C1135,monster!$A$2:$A$681,0))</f>
        <v>52.81</v>
      </c>
      <c r="F1135" s="15">
        <f>INDEX(monster!$I$2:$I$681,MATCH(C1135,monster!$A$2:$A$681,0))</f>
        <v>1.58</v>
      </c>
      <c r="G1135" s="70" t="b">
        <v>1</v>
      </c>
      <c r="H1135" s="31">
        <v>1</v>
      </c>
      <c r="I1135" s="15">
        <f>IF(H1135&gt;0,HLOOKUP(R1135/100,数值规划表!$B$37:$AA$39,3),1)</f>
        <v>1.296</v>
      </c>
      <c r="J1135" s="31" t="s">
        <v>1625</v>
      </c>
      <c r="K1135" s="15">
        <f>INDEX(数值规划表!$B$15:$B$18,MATCH(J1135,攻击范围,0))</f>
        <v>1</v>
      </c>
      <c r="L1135" s="70">
        <v>0.75</v>
      </c>
      <c r="M1135" s="70">
        <v>1</v>
      </c>
      <c r="N1135" s="15">
        <f t="shared" si="60"/>
        <v>51</v>
      </c>
      <c r="O1135" s="15">
        <f t="shared" si="61"/>
        <v>1.54</v>
      </c>
      <c r="P1135" s="15">
        <f>IF(G1135,INDEX(monster!$J$2:$J$681,MATCH(skill!C1135,monster!$A$2:$A$681,0)),Q1135)</f>
        <v>5</v>
      </c>
      <c r="R1135" s="80">
        <v>120</v>
      </c>
    </row>
    <row r="1136" spans="1:18" x14ac:dyDescent="0.15">
      <c r="A1136" s="53">
        <v>15245</v>
      </c>
      <c r="B1136" s="79" t="s">
        <v>2705</v>
      </c>
      <c r="C1136" s="53">
        <v>2077</v>
      </c>
      <c r="D1136" s="32">
        <v>2</v>
      </c>
      <c r="E1136" s="15">
        <f>INDEX(monster!$H$2:$H$681,MATCH(skill!C1136,monster!$A$2:$A$681,0))</f>
        <v>59.14</v>
      </c>
      <c r="F1136" s="15">
        <f>INDEX(monster!$I$2:$I$681,MATCH(C1136,monster!$A$2:$A$681,0))</f>
        <v>1.77</v>
      </c>
      <c r="G1136" s="70" t="b">
        <v>1</v>
      </c>
      <c r="H1136" s="31">
        <v>1</v>
      </c>
      <c r="I1136" s="15">
        <f>IF(H1136&gt;0,HLOOKUP(R1136/100,数值规划表!$B$37:$AA$39,3),1)</f>
        <v>1.296</v>
      </c>
      <c r="J1136" s="31" t="s">
        <v>1625</v>
      </c>
      <c r="K1136" s="15">
        <f>INDEX(数值规划表!$B$15:$B$18,MATCH(J1136,攻击范围,0))</f>
        <v>1</v>
      </c>
      <c r="L1136" s="70">
        <v>0.75</v>
      </c>
      <c r="M1136" s="70">
        <v>1</v>
      </c>
      <c r="N1136" s="15">
        <f t="shared" si="60"/>
        <v>57</v>
      </c>
      <c r="O1136" s="15">
        <f t="shared" si="61"/>
        <v>1.72</v>
      </c>
      <c r="P1136" s="15">
        <f>IF(G1136,INDEX(monster!$J$2:$J$681,MATCH(skill!C1136,monster!$A$2:$A$681,0)),Q1136)</f>
        <v>5</v>
      </c>
      <c r="R1136" s="80">
        <v>120</v>
      </c>
    </row>
    <row r="1137" spans="1:18" x14ac:dyDescent="0.15">
      <c r="A1137" s="53">
        <v>15246</v>
      </c>
      <c r="B1137" s="79" t="s">
        <v>2706</v>
      </c>
      <c r="C1137" s="53">
        <v>2078</v>
      </c>
      <c r="D1137" s="32">
        <v>3</v>
      </c>
      <c r="E1137" s="15">
        <f>INDEX(monster!$H$2:$H$681,MATCH(skill!C1137,monster!$A$2:$A$681,0))</f>
        <v>66.239999999999995</v>
      </c>
      <c r="F1137" s="15">
        <f>INDEX(monster!$I$2:$I$681,MATCH(C1137,monster!$A$2:$A$681,0))</f>
        <v>1.99</v>
      </c>
      <c r="G1137" s="70" t="b">
        <v>1</v>
      </c>
      <c r="H1137" s="31">
        <v>1</v>
      </c>
      <c r="I1137" s="15">
        <f>IF(H1137&gt;0,HLOOKUP(R1137/100,数值规划表!$B$37:$AA$39,3),1)</f>
        <v>1.296</v>
      </c>
      <c r="J1137" s="31" t="s">
        <v>1625</v>
      </c>
      <c r="K1137" s="15">
        <f>INDEX(数值规划表!$B$15:$B$18,MATCH(J1137,攻击范围,0))</f>
        <v>1</v>
      </c>
      <c r="L1137" s="70">
        <v>0.75</v>
      </c>
      <c r="M1137" s="70">
        <v>1</v>
      </c>
      <c r="N1137" s="15">
        <f t="shared" si="60"/>
        <v>64</v>
      </c>
      <c r="O1137" s="15">
        <f t="shared" si="61"/>
        <v>1.93</v>
      </c>
      <c r="P1137" s="15">
        <f>IF(G1137,INDEX(monster!$J$2:$J$681,MATCH(skill!C1137,monster!$A$2:$A$681,0)),Q1137)</f>
        <v>5</v>
      </c>
      <c r="R1137" s="80">
        <v>120</v>
      </c>
    </row>
    <row r="1138" spans="1:18" x14ac:dyDescent="0.15">
      <c r="A1138" s="53">
        <v>15247</v>
      </c>
      <c r="B1138" s="79" t="s">
        <v>2707</v>
      </c>
      <c r="C1138" s="53">
        <v>2079</v>
      </c>
      <c r="D1138" s="32">
        <v>4</v>
      </c>
      <c r="E1138" s="15">
        <f>INDEX(monster!$H$2:$H$681,MATCH(skill!C1138,monster!$A$2:$A$681,0))</f>
        <v>74.19</v>
      </c>
      <c r="F1138" s="15">
        <f>INDEX(monster!$I$2:$I$681,MATCH(C1138,monster!$A$2:$A$681,0))</f>
        <v>2.23</v>
      </c>
      <c r="G1138" s="70" t="b">
        <v>1</v>
      </c>
      <c r="H1138" s="31">
        <v>1</v>
      </c>
      <c r="I1138" s="15">
        <f>IF(H1138&gt;0,HLOOKUP(R1138/100,数值规划表!$B$37:$AA$39,3),1)</f>
        <v>1.296</v>
      </c>
      <c r="J1138" s="31" t="s">
        <v>1625</v>
      </c>
      <c r="K1138" s="15">
        <f>INDEX(数值规划表!$B$15:$B$18,MATCH(J1138,攻击范围,0))</f>
        <v>1</v>
      </c>
      <c r="L1138" s="70">
        <v>0.75</v>
      </c>
      <c r="M1138" s="70">
        <v>1</v>
      </c>
      <c r="N1138" s="15">
        <f t="shared" si="60"/>
        <v>72</v>
      </c>
      <c r="O1138" s="15">
        <f t="shared" si="61"/>
        <v>2.17</v>
      </c>
      <c r="P1138" s="15">
        <f>IF(G1138,INDEX(monster!$J$2:$J$681,MATCH(skill!C1138,monster!$A$2:$A$681,0)),Q1138)</f>
        <v>5</v>
      </c>
      <c r="R1138" s="80">
        <v>120</v>
      </c>
    </row>
    <row r="1139" spans="1:18" x14ac:dyDescent="0.15">
      <c r="A1139" s="53">
        <v>15248</v>
      </c>
      <c r="B1139" s="79" t="s">
        <v>2708</v>
      </c>
      <c r="C1139" s="53">
        <v>2080</v>
      </c>
      <c r="D1139" s="32">
        <v>5</v>
      </c>
      <c r="E1139" s="15">
        <f>INDEX(monster!$H$2:$H$681,MATCH(skill!C1139,monster!$A$2:$A$681,0))</f>
        <v>83.09</v>
      </c>
      <c r="F1139" s="15">
        <f>INDEX(monster!$I$2:$I$681,MATCH(C1139,monster!$A$2:$A$681,0))</f>
        <v>2.4900000000000002</v>
      </c>
      <c r="G1139" s="70" t="b">
        <v>1</v>
      </c>
      <c r="H1139" s="31">
        <v>1</v>
      </c>
      <c r="I1139" s="15">
        <f>IF(H1139&gt;0,HLOOKUP(R1139/100,数值规划表!$B$37:$AA$39,3),1)</f>
        <v>1.296</v>
      </c>
      <c r="J1139" s="31" t="s">
        <v>1625</v>
      </c>
      <c r="K1139" s="15">
        <f>INDEX(数值规划表!$B$15:$B$18,MATCH(J1139,攻击范围,0))</f>
        <v>1</v>
      </c>
      <c r="L1139" s="70">
        <v>0.75</v>
      </c>
      <c r="M1139" s="70">
        <v>1</v>
      </c>
      <c r="N1139" s="15">
        <f t="shared" si="60"/>
        <v>81</v>
      </c>
      <c r="O1139" s="15">
        <f t="shared" si="61"/>
        <v>2.42</v>
      </c>
      <c r="P1139" s="15">
        <f>IF(G1139,INDEX(monster!$J$2:$J$681,MATCH(skill!C1139,monster!$A$2:$A$681,0)),Q1139)</f>
        <v>5</v>
      </c>
      <c r="R1139" s="80">
        <v>120</v>
      </c>
    </row>
    <row r="1140" spans="1:18" x14ac:dyDescent="0.15">
      <c r="A1140" s="53">
        <v>15249</v>
      </c>
      <c r="B1140" s="79" t="s">
        <v>2709</v>
      </c>
      <c r="C1140" s="53">
        <v>2081</v>
      </c>
      <c r="D1140" s="32">
        <v>6</v>
      </c>
      <c r="E1140" s="15">
        <f>INDEX(monster!$H$2:$H$681,MATCH(skill!C1140,monster!$A$2:$A$681,0))</f>
        <v>93.07</v>
      </c>
      <c r="F1140" s="15">
        <f>INDEX(monster!$I$2:$I$681,MATCH(C1140,monster!$A$2:$A$681,0))</f>
        <v>2.79</v>
      </c>
      <c r="G1140" s="70" t="b">
        <v>1</v>
      </c>
      <c r="H1140" s="31">
        <v>1</v>
      </c>
      <c r="I1140" s="15">
        <f>IF(H1140&gt;0,HLOOKUP(R1140/100,数值规划表!$B$37:$AA$39,3),1)</f>
        <v>1.296</v>
      </c>
      <c r="J1140" s="31" t="s">
        <v>1625</v>
      </c>
      <c r="K1140" s="15">
        <f>INDEX(数值规划表!$B$15:$B$18,MATCH(J1140,攻击范围,0))</f>
        <v>1</v>
      </c>
      <c r="L1140" s="70">
        <v>0.75</v>
      </c>
      <c r="M1140" s="70">
        <v>1</v>
      </c>
      <c r="N1140" s="15">
        <f t="shared" si="60"/>
        <v>90</v>
      </c>
      <c r="O1140" s="15">
        <f t="shared" si="61"/>
        <v>2.71</v>
      </c>
      <c r="P1140" s="15">
        <f>IF(G1140,INDEX(monster!$J$2:$J$681,MATCH(skill!C1140,monster!$A$2:$A$681,0)),Q1140)</f>
        <v>5</v>
      </c>
      <c r="R1140" s="80">
        <v>120</v>
      </c>
    </row>
    <row r="1141" spans="1:18" x14ac:dyDescent="0.15">
      <c r="A1141" s="53">
        <v>15250</v>
      </c>
      <c r="B1141" s="79" t="s">
        <v>2710</v>
      </c>
      <c r="C1141" s="53">
        <v>2082</v>
      </c>
      <c r="D1141" s="32">
        <v>7</v>
      </c>
      <c r="E1141" s="15">
        <f>INDEX(monster!$H$2:$H$681,MATCH(skill!C1141,monster!$A$2:$A$681,0))</f>
        <v>104.23</v>
      </c>
      <c r="F1141" s="15">
        <f>INDEX(monster!$I$2:$I$681,MATCH(C1141,monster!$A$2:$A$681,0))</f>
        <v>3.13</v>
      </c>
      <c r="G1141" s="70" t="b">
        <v>1</v>
      </c>
      <c r="H1141" s="31">
        <v>1</v>
      </c>
      <c r="I1141" s="15">
        <f>IF(H1141&gt;0,HLOOKUP(R1141/100,数值规划表!$B$37:$AA$39,3),1)</f>
        <v>1.296</v>
      </c>
      <c r="J1141" s="31" t="s">
        <v>1625</v>
      </c>
      <c r="K1141" s="15">
        <f>INDEX(数值规划表!$B$15:$B$18,MATCH(J1141,攻击范围,0))</f>
        <v>1</v>
      </c>
      <c r="L1141" s="70">
        <v>0.75</v>
      </c>
      <c r="M1141" s="70">
        <v>1</v>
      </c>
      <c r="N1141" s="15">
        <f t="shared" si="60"/>
        <v>101</v>
      </c>
      <c r="O1141" s="15">
        <f t="shared" si="61"/>
        <v>3.04</v>
      </c>
      <c r="P1141" s="15">
        <f>IF(G1141,INDEX(monster!$J$2:$J$681,MATCH(skill!C1141,monster!$A$2:$A$681,0)),Q1141)</f>
        <v>5</v>
      </c>
      <c r="R1141" s="80">
        <v>120</v>
      </c>
    </row>
    <row r="1142" spans="1:18" x14ac:dyDescent="0.15">
      <c r="A1142" s="53">
        <v>15251</v>
      </c>
      <c r="B1142" s="79" t="s">
        <v>2711</v>
      </c>
      <c r="C1142" s="53">
        <v>2083</v>
      </c>
      <c r="D1142" s="32">
        <v>8</v>
      </c>
      <c r="E1142" s="15">
        <f>INDEX(monster!$H$2:$H$681,MATCH(skill!C1142,monster!$A$2:$A$681,0))</f>
        <v>116.74</v>
      </c>
      <c r="F1142" s="15">
        <f>INDEX(monster!$I$2:$I$681,MATCH(C1142,monster!$A$2:$A$681,0))</f>
        <v>3.5</v>
      </c>
      <c r="G1142" s="70" t="b">
        <v>1</v>
      </c>
      <c r="H1142" s="31">
        <v>1</v>
      </c>
      <c r="I1142" s="15">
        <f>IF(H1142&gt;0,HLOOKUP(R1142/100,数值规划表!$B$37:$AA$39,3),1)</f>
        <v>1.296</v>
      </c>
      <c r="J1142" s="31" t="s">
        <v>1625</v>
      </c>
      <c r="K1142" s="15">
        <f>INDEX(数值规划表!$B$15:$B$18,MATCH(J1142,攻击范围,0))</f>
        <v>1</v>
      </c>
      <c r="L1142" s="70">
        <v>0.75</v>
      </c>
      <c r="M1142" s="70">
        <v>1</v>
      </c>
      <c r="N1142" s="15">
        <f t="shared" si="60"/>
        <v>113</v>
      </c>
      <c r="O1142" s="15">
        <f t="shared" si="61"/>
        <v>3.4</v>
      </c>
      <c r="P1142" s="15">
        <f>IF(G1142,INDEX(monster!$J$2:$J$681,MATCH(skill!C1142,monster!$A$2:$A$681,0)),Q1142)</f>
        <v>5</v>
      </c>
      <c r="R1142" s="80">
        <v>120</v>
      </c>
    </row>
    <row r="1143" spans="1:18" x14ac:dyDescent="0.15">
      <c r="A1143" s="53">
        <v>15252</v>
      </c>
      <c r="B1143" s="79" t="s">
        <v>2712</v>
      </c>
      <c r="C1143" s="53">
        <v>2084</v>
      </c>
      <c r="D1143" s="32">
        <v>9</v>
      </c>
      <c r="E1143" s="15">
        <f>INDEX(monster!$H$2:$H$681,MATCH(skill!C1143,monster!$A$2:$A$681,0))</f>
        <v>130.75</v>
      </c>
      <c r="F1143" s="15">
        <f>INDEX(monster!$I$2:$I$681,MATCH(C1143,monster!$A$2:$A$681,0))</f>
        <v>3.92</v>
      </c>
      <c r="G1143" s="70" t="b">
        <v>1</v>
      </c>
      <c r="H1143" s="31">
        <v>1</v>
      </c>
      <c r="I1143" s="15">
        <f>IF(H1143&gt;0,HLOOKUP(R1143/100,数值规划表!$B$37:$AA$39,3),1)</f>
        <v>1.296</v>
      </c>
      <c r="J1143" s="31" t="s">
        <v>1625</v>
      </c>
      <c r="K1143" s="15">
        <f>INDEX(数值规划表!$B$15:$B$18,MATCH(J1143,攻击范围,0))</f>
        <v>1</v>
      </c>
      <c r="L1143" s="70">
        <v>0.75</v>
      </c>
      <c r="M1143" s="70">
        <v>1</v>
      </c>
      <c r="N1143" s="15">
        <f t="shared" ref="N1143:N1209" si="64">ROUND(E1143*I1143*K1143*L1143,0)</f>
        <v>127</v>
      </c>
      <c r="O1143" s="15">
        <f t="shared" ref="O1143:O1209" si="65">ROUND(F1143*I1143*K1143*L1143,2)</f>
        <v>3.81</v>
      </c>
      <c r="P1143" s="15">
        <f>IF(G1143,INDEX(monster!$J$2:$J$681,MATCH(skill!C1143,monster!$A$2:$A$681,0)),Q1143)</f>
        <v>5</v>
      </c>
      <c r="R1143" s="80">
        <v>120</v>
      </c>
    </row>
    <row r="1144" spans="1:18" x14ac:dyDescent="0.15">
      <c r="A1144" s="53">
        <v>15253</v>
      </c>
      <c r="B1144" s="79" t="s">
        <v>2713</v>
      </c>
      <c r="C1144" s="53">
        <v>2085</v>
      </c>
      <c r="D1144" s="32">
        <v>10</v>
      </c>
      <c r="E1144" s="15">
        <f>INDEX(monster!$H$2:$H$681,MATCH(skill!C1144,monster!$A$2:$A$681,0))</f>
        <v>146.44</v>
      </c>
      <c r="F1144" s="15">
        <f>INDEX(monster!$I$2:$I$681,MATCH(C1144,monster!$A$2:$A$681,0))</f>
        <v>4.3899999999999997</v>
      </c>
      <c r="G1144" s="70" t="b">
        <v>1</v>
      </c>
      <c r="H1144" s="31">
        <v>1</v>
      </c>
      <c r="I1144" s="15">
        <f>IF(H1144&gt;0,HLOOKUP(R1144/100,数值规划表!$B$37:$AA$39,3),1)</f>
        <v>1.296</v>
      </c>
      <c r="J1144" s="31" t="s">
        <v>1625</v>
      </c>
      <c r="K1144" s="15">
        <f>INDEX(数值规划表!$B$15:$B$18,MATCH(J1144,攻击范围,0))</f>
        <v>1</v>
      </c>
      <c r="L1144" s="70">
        <v>0.75</v>
      </c>
      <c r="M1144" s="70">
        <v>1</v>
      </c>
      <c r="N1144" s="15">
        <f t="shared" si="64"/>
        <v>142</v>
      </c>
      <c r="O1144" s="15">
        <f t="shared" si="65"/>
        <v>4.2699999999999996</v>
      </c>
      <c r="P1144" s="15">
        <f>IF(G1144,INDEX(monster!$J$2:$J$681,MATCH(skill!C1144,monster!$A$2:$A$681,0)),Q1144)</f>
        <v>5</v>
      </c>
      <c r="R1144" s="80">
        <v>120</v>
      </c>
    </row>
    <row r="1145" spans="1:18" x14ac:dyDescent="0.15">
      <c r="A1145" s="53">
        <v>15267</v>
      </c>
      <c r="B1145" s="53" t="s">
        <v>2729</v>
      </c>
      <c r="C1145" s="31">
        <v>1406</v>
      </c>
      <c r="D1145" s="32">
        <v>0</v>
      </c>
      <c r="E1145" s="15">
        <f>INDEX(monster!$H$2:$H$681,MATCH(skill!C1145,monster!$A$2:$A$681,0))</f>
        <v>47.15</v>
      </c>
      <c r="F1145" s="15">
        <f>INDEX(monster!$I$2:$I$681,MATCH(C1145,monster!$A$2:$A$681,0))</f>
        <v>1.41</v>
      </c>
      <c r="G1145" s="70" t="b">
        <v>1</v>
      </c>
      <c r="H1145" s="31">
        <v>0</v>
      </c>
      <c r="I1145" s="15">
        <f>IF(H1145&gt;0,HLOOKUP(R1145/100,数值规划表!$B$37:$AA$39,3),1)</f>
        <v>1</v>
      </c>
      <c r="J1145" s="31" t="s">
        <v>1625</v>
      </c>
      <c r="K1145" s="15">
        <f>INDEX(数值规划表!$B$15:$B$18,MATCH(J1145,攻击范围,0))</f>
        <v>1</v>
      </c>
      <c r="L1145" s="70">
        <v>1.2</v>
      </c>
      <c r="M1145" s="70">
        <v>1</v>
      </c>
      <c r="N1145" s="15">
        <f t="shared" si="64"/>
        <v>57</v>
      </c>
      <c r="O1145" s="15">
        <f t="shared" si="65"/>
        <v>1.69</v>
      </c>
      <c r="P1145" s="15">
        <f>IF(G1145,INDEX(monster!$J$2:$J$681,MATCH(skill!C1145,monster!$A$2:$A$681,0)),Q1145)</f>
        <v>5</v>
      </c>
      <c r="R1145" s="80">
        <v>400</v>
      </c>
    </row>
    <row r="1146" spans="1:18" x14ac:dyDescent="0.15">
      <c r="A1146" s="53">
        <v>15268</v>
      </c>
      <c r="B1146" s="53" t="s">
        <v>2730</v>
      </c>
      <c r="C1146" s="31">
        <v>1407</v>
      </c>
      <c r="D1146" s="32">
        <v>1</v>
      </c>
      <c r="E1146" s="15">
        <f>INDEX(monster!$H$2:$H$681,MATCH(skill!C1146,monster!$A$2:$A$681,0))</f>
        <v>52.81</v>
      </c>
      <c r="F1146" s="15">
        <f>INDEX(monster!$I$2:$I$681,MATCH(C1146,monster!$A$2:$A$681,0))</f>
        <v>1.58</v>
      </c>
      <c r="G1146" s="70" t="b">
        <v>1</v>
      </c>
      <c r="H1146" s="31">
        <v>0</v>
      </c>
      <c r="I1146" s="15">
        <f>IF(H1146&gt;0,HLOOKUP(R1146/100,数值规划表!$B$37:$AA$39,3),1)</f>
        <v>1</v>
      </c>
      <c r="J1146" s="31" t="s">
        <v>1625</v>
      </c>
      <c r="K1146" s="15">
        <f>INDEX(数值规划表!$B$15:$B$18,MATCH(J1146,攻击范围,0))</f>
        <v>1</v>
      </c>
      <c r="L1146" s="70">
        <v>1.2</v>
      </c>
      <c r="M1146" s="70">
        <v>1</v>
      </c>
      <c r="N1146" s="15">
        <f t="shared" si="64"/>
        <v>63</v>
      </c>
      <c r="O1146" s="15">
        <f t="shared" si="65"/>
        <v>1.9</v>
      </c>
      <c r="P1146" s="15">
        <f>IF(G1146,INDEX(monster!$J$2:$J$681,MATCH(skill!C1146,monster!$A$2:$A$681,0)),Q1146)</f>
        <v>5</v>
      </c>
      <c r="R1146" s="80">
        <v>400</v>
      </c>
    </row>
    <row r="1147" spans="1:18" x14ac:dyDescent="0.15">
      <c r="A1147" s="53">
        <v>15269</v>
      </c>
      <c r="B1147" s="53" t="s">
        <v>2731</v>
      </c>
      <c r="C1147" s="31">
        <v>1408</v>
      </c>
      <c r="D1147" s="32">
        <v>2</v>
      </c>
      <c r="E1147" s="15">
        <f>INDEX(monster!$H$2:$H$681,MATCH(skill!C1147,monster!$A$2:$A$681,0))</f>
        <v>59.14</v>
      </c>
      <c r="F1147" s="15">
        <f>INDEX(monster!$I$2:$I$681,MATCH(C1147,monster!$A$2:$A$681,0))</f>
        <v>1.77</v>
      </c>
      <c r="G1147" s="70" t="b">
        <v>1</v>
      </c>
      <c r="H1147" s="31">
        <v>0</v>
      </c>
      <c r="I1147" s="15">
        <f>IF(H1147&gt;0,HLOOKUP(R1147/100,数值规划表!$B$37:$AA$39,3),1)</f>
        <v>1</v>
      </c>
      <c r="J1147" s="31" t="s">
        <v>1625</v>
      </c>
      <c r="K1147" s="15">
        <f>INDEX(数值规划表!$B$15:$B$18,MATCH(J1147,攻击范围,0))</f>
        <v>1</v>
      </c>
      <c r="L1147" s="70">
        <v>1.2</v>
      </c>
      <c r="M1147" s="70">
        <v>1</v>
      </c>
      <c r="N1147" s="15">
        <f t="shared" si="64"/>
        <v>71</v>
      </c>
      <c r="O1147" s="15">
        <f t="shared" si="65"/>
        <v>2.12</v>
      </c>
      <c r="P1147" s="15">
        <f>IF(G1147,INDEX(monster!$J$2:$J$681,MATCH(skill!C1147,monster!$A$2:$A$681,0)),Q1147)</f>
        <v>5</v>
      </c>
      <c r="R1147" s="80">
        <v>400</v>
      </c>
    </row>
    <row r="1148" spans="1:18" x14ac:dyDescent="0.15">
      <c r="A1148" s="53">
        <v>15270</v>
      </c>
      <c r="B1148" s="53" t="s">
        <v>2732</v>
      </c>
      <c r="C1148" s="31">
        <v>1409</v>
      </c>
      <c r="D1148" s="32">
        <v>3</v>
      </c>
      <c r="E1148" s="15">
        <f>INDEX(monster!$H$2:$H$681,MATCH(skill!C1148,monster!$A$2:$A$681,0))</f>
        <v>66.239999999999995</v>
      </c>
      <c r="F1148" s="15">
        <f>INDEX(monster!$I$2:$I$681,MATCH(C1148,monster!$A$2:$A$681,0))</f>
        <v>1.99</v>
      </c>
      <c r="G1148" s="70" t="b">
        <v>1</v>
      </c>
      <c r="H1148" s="31">
        <v>0</v>
      </c>
      <c r="I1148" s="15">
        <f>IF(H1148&gt;0,HLOOKUP(R1148/100,数值规划表!$B$37:$AA$39,3),1)</f>
        <v>1</v>
      </c>
      <c r="J1148" s="31" t="s">
        <v>1625</v>
      </c>
      <c r="K1148" s="15">
        <f>INDEX(数值规划表!$B$15:$B$18,MATCH(J1148,攻击范围,0))</f>
        <v>1</v>
      </c>
      <c r="L1148" s="70">
        <v>1.2</v>
      </c>
      <c r="M1148" s="70">
        <v>1</v>
      </c>
      <c r="N1148" s="15">
        <f t="shared" si="64"/>
        <v>79</v>
      </c>
      <c r="O1148" s="15">
        <f t="shared" si="65"/>
        <v>2.39</v>
      </c>
      <c r="P1148" s="15">
        <f>IF(G1148,INDEX(monster!$J$2:$J$681,MATCH(skill!C1148,monster!$A$2:$A$681,0)),Q1148)</f>
        <v>5</v>
      </c>
      <c r="R1148" s="80">
        <v>400</v>
      </c>
    </row>
    <row r="1149" spans="1:18" x14ac:dyDescent="0.15">
      <c r="A1149" s="53">
        <v>15271</v>
      </c>
      <c r="B1149" s="53" t="s">
        <v>2733</v>
      </c>
      <c r="C1149" s="31">
        <v>1410</v>
      </c>
      <c r="D1149" s="32">
        <v>4</v>
      </c>
      <c r="E1149" s="15">
        <f>INDEX(monster!$H$2:$H$681,MATCH(skill!C1149,monster!$A$2:$A$681,0))</f>
        <v>74.19</v>
      </c>
      <c r="F1149" s="15">
        <f>INDEX(monster!$I$2:$I$681,MATCH(C1149,monster!$A$2:$A$681,0))</f>
        <v>2.23</v>
      </c>
      <c r="G1149" s="70" t="b">
        <v>1</v>
      </c>
      <c r="H1149" s="31">
        <v>0</v>
      </c>
      <c r="I1149" s="15">
        <f>IF(H1149&gt;0,HLOOKUP(R1149/100,数值规划表!$B$37:$AA$39,3),1)</f>
        <v>1</v>
      </c>
      <c r="J1149" s="31" t="s">
        <v>1625</v>
      </c>
      <c r="K1149" s="15">
        <f>INDEX(数值规划表!$B$15:$B$18,MATCH(J1149,攻击范围,0))</f>
        <v>1</v>
      </c>
      <c r="L1149" s="70">
        <v>1.2</v>
      </c>
      <c r="M1149" s="70">
        <v>1</v>
      </c>
      <c r="N1149" s="15">
        <f t="shared" si="64"/>
        <v>89</v>
      </c>
      <c r="O1149" s="15">
        <f t="shared" si="65"/>
        <v>2.68</v>
      </c>
      <c r="P1149" s="15">
        <f>IF(G1149,INDEX(monster!$J$2:$J$681,MATCH(skill!C1149,monster!$A$2:$A$681,0)),Q1149)</f>
        <v>5</v>
      </c>
      <c r="R1149" s="80">
        <v>400</v>
      </c>
    </row>
    <row r="1150" spans="1:18" x14ac:dyDescent="0.15">
      <c r="A1150" s="53">
        <v>15272</v>
      </c>
      <c r="B1150" s="53" t="s">
        <v>2734</v>
      </c>
      <c r="C1150" s="31">
        <v>1411</v>
      </c>
      <c r="D1150" s="32">
        <v>5</v>
      </c>
      <c r="E1150" s="15">
        <f>INDEX(monster!$H$2:$H$681,MATCH(skill!C1150,monster!$A$2:$A$681,0))</f>
        <v>83.09</v>
      </c>
      <c r="F1150" s="15">
        <f>INDEX(monster!$I$2:$I$681,MATCH(C1150,monster!$A$2:$A$681,0))</f>
        <v>2.4900000000000002</v>
      </c>
      <c r="G1150" s="70" t="b">
        <v>1</v>
      </c>
      <c r="H1150" s="31">
        <v>0</v>
      </c>
      <c r="I1150" s="15">
        <f>IF(H1150&gt;0,HLOOKUP(R1150/100,数值规划表!$B$37:$AA$39,3),1)</f>
        <v>1</v>
      </c>
      <c r="J1150" s="31" t="s">
        <v>1625</v>
      </c>
      <c r="K1150" s="15">
        <f>INDEX(数值规划表!$B$15:$B$18,MATCH(J1150,攻击范围,0))</f>
        <v>1</v>
      </c>
      <c r="L1150" s="70">
        <v>1.2</v>
      </c>
      <c r="M1150" s="70">
        <v>1</v>
      </c>
      <c r="N1150" s="15">
        <f t="shared" si="64"/>
        <v>100</v>
      </c>
      <c r="O1150" s="15">
        <f t="shared" si="65"/>
        <v>2.99</v>
      </c>
      <c r="P1150" s="15">
        <f>IF(G1150,INDEX(monster!$J$2:$J$681,MATCH(skill!C1150,monster!$A$2:$A$681,0)),Q1150)</f>
        <v>5</v>
      </c>
      <c r="R1150" s="80">
        <v>400</v>
      </c>
    </row>
    <row r="1151" spans="1:18" x14ac:dyDescent="0.15">
      <c r="A1151" s="53">
        <v>15273</v>
      </c>
      <c r="B1151" s="53" t="s">
        <v>2735</v>
      </c>
      <c r="C1151" s="31">
        <v>1412</v>
      </c>
      <c r="D1151" s="32">
        <v>6</v>
      </c>
      <c r="E1151" s="15">
        <f>INDEX(monster!$H$2:$H$681,MATCH(skill!C1151,monster!$A$2:$A$681,0))</f>
        <v>93.07</v>
      </c>
      <c r="F1151" s="15">
        <f>INDEX(monster!$I$2:$I$681,MATCH(C1151,monster!$A$2:$A$681,0))</f>
        <v>2.79</v>
      </c>
      <c r="G1151" s="70" t="b">
        <v>1</v>
      </c>
      <c r="H1151" s="31">
        <v>0</v>
      </c>
      <c r="I1151" s="15">
        <f>IF(H1151&gt;0,HLOOKUP(R1151/100,数值规划表!$B$37:$AA$39,3),1)</f>
        <v>1</v>
      </c>
      <c r="J1151" s="31" t="s">
        <v>1625</v>
      </c>
      <c r="K1151" s="15">
        <f>INDEX(数值规划表!$B$15:$B$18,MATCH(J1151,攻击范围,0))</f>
        <v>1</v>
      </c>
      <c r="L1151" s="70">
        <v>1.2</v>
      </c>
      <c r="M1151" s="70">
        <v>1</v>
      </c>
      <c r="N1151" s="15">
        <f t="shared" si="64"/>
        <v>112</v>
      </c>
      <c r="O1151" s="15">
        <f t="shared" si="65"/>
        <v>3.35</v>
      </c>
      <c r="P1151" s="15">
        <f>IF(G1151,INDEX(monster!$J$2:$J$681,MATCH(skill!C1151,monster!$A$2:$A$681,0)),Q1151)</f>
        <v>5</v>
      </c>
      <c r="R1151" s="80">
        <v>400</v>
      </c>
    </row>
    <row r="1152" spans="1:18" x14ac:dyDescent="0.15">
      <c r="A1152" s="53">
        <v>15274</v>
      </c>
      <c r="B1152" s="53" t="s">
        <v>2736</v>
      </c>
      <c r="C1152" s="31">
        <v>1413</v>
      </c>
      <c r="D1152" s="32">
        <v>7</v>
      </c>
      <c r="E1152" s="15">
        <f>INDEX(monster!$H$2:$H$681,MATCH(skill!C1152,monster!$A$2:$A$681,0))</f>
        <v>104.23</v>
      </c>
      <c r="F1152" s="15">
        <f>INDEX(monster!$I$2:$I$681,MATCH(C1152,monster!$A$2:$A$681,0))</f>
        <v>3.13</v>
      </c>
      <c r="G1152" s="70" t="b">
        <v>1</v>
      </c>
      <c r="H1152" s="31">
        <v>0</v>
      </c>
      <c r="I1152" s="15">
        <f>IF(H1152&gt;0,HLOOKUP(R1152/100,数值规划表!$B$37:$AA$39,3),1)</f>
        <v>1</v>
      </c>
      <c r="J1152" s="31" t="s">
        <v>1625</v>
      </c>
      <c r="K1152" s="15">
        <f>INDEX(数值规划表!$B$15:$B$18,MATCH(J1152,攻击范围,0))</f>
        <v>1</v>
      </c>
      <c r="L1152" s="70">
        <v>1.2</v>
      </c>
      <c r="M1152" s="70">
        <v>1</v>
      </c>
      <c r="N1152" s="15">
        <f t="shared" si="64"/>
        <v>125</v>
      </c>
      <c r="O1152" s="15">
        <f t="shared" si="65"/>
        <v>3.76</v>
      </c>
      <c r="P1152" s="15">
        <f>IF(G1152,INDEX(monster!$J$2:$J$681,MATCH(skill!C1152,monster!$A$2:$A$681,0)),Q1152)</f>
        <v>5</v>
      </c>
      <c r="R1152" s="80">
        <v>400</v>
      </c>
    </row>
    <row r="1153" spans="1:18" x14ac:dyDescent="0.15">
      <c r="A1153" s="53">
        <v>15275</v>
      </c>
      <c r="B1153" s="53" t="s">
        <v>2737</v>
      </c>
      <c r="C1153" s="31">
        <v>1414</v>
      </c>
      <c r="D1153" s="32">
        <v>8</v>
      </c>
      <c r="E1153" s="15">
        <f>INDEX(monster!$H$2:$H$681,MATCH(skill!C1153,monster!$A$2:$A$681,0))</f>
        <v>116.74</v>
      </c>
      <c r="F1153" s="15">
        <f>INDEX(monster!$I$2:$I$681,MATCH(C1153,monster!$A$2:$A$681,0))</f>
        <v>3.5</v>
      </c>
      <c r="G1153" s="70" t="b">
        <v>1</v>
      </c>
      <c r="H1153" s="31">
        <v>0</v>
      </c>
      <c r="I1153" s="15">
        <f>IF(H1153&gt;0,HLOOKUP(R1153/100,数值规划表!$B$37:$AA$39,3),1)</f>
        <v>1</v>
      </c>
      <c r="J1153" s="31" t="s">
        <v>1625</v>
      </c>
      <c r="K1153" s="15">
        <f>INDEX(数值规划表!$B$15:$B$18,MATCH(J1153,攻击范围,0))</f>
        <v>1</v>
      </c>
      <c r="L1153" s="70">
        <v>1.2</v>
      </c>
      <c r="M1153" s="70">
        <v>1</v>
      </c>
      <c r="N1153" s="15">
        <f t="shared" si="64"/>
        <v>140</v>
      </c>
      <c r="O1153" s="15">
        <f t="shared" si="65"/>
        <v>4.2</v>
      </c>
      <c r="P1153" s="15">
        <f>IF(G1153,INDEX(monster!$J$2:$J$681,MATCH(skill!C1153,monster!$A$2:$A$681,0)),Q1153)</f>
        <v>5</v>
      </c>
      <c r="R1153" s="80">
        <v>400</v>
      </c>
    </row>
    <row r="1154" spans="1:18" x14ac:dyDescent="0.15">
      <c r="A1154" s="53">
        <v>15276</v>
      </c>
      <c r="B1154" s="53" t="s">
        <v>2738</v>
      </c>
      <c r="C1154" s="31">
        <v>1415</v>
      </c>
      <c r="D1154" s="32">
        <v>9</v>
      </c>
      <c r="E1154" s="15">
        <f>INDEX(monster!$H$2:$H$681,MATCH(skill!C1154,monster!$A$2:$A$681,0))</f>
        <v>130.75</v>
      </c>
      <c r="F1154" s="15">
        <f>INDEX(monster!$I$2:$I$681,MATCH(C1154,monster!$A$2:$A$681,0))</f>
        <v>3.92</v>
      </c>
      <c r="G1154" s="70" t="b">
        <v>1</v>
      </c>
      <c r="H1154" s="31">
        <v>0</v>
      </c>
      <c r="I1154" s="15">
        <f>IF(H1154&gt;0,HLOOKUP(R1154/100,数值规划表!$B$37:$AA$39,3),1)</f>
        <v>1</v>
      </c>
      <c r="J1154" s="31" t="s">
        <v>1625</v>
      </c>
      <c r="K1154" s="15">
        <f>INDEX(数值规划表!$B$15:$B$18,MATCH(J1154,攻击范围,0))</f>
        <v>1</v>
      </c>
      <c r="L1154" s="70">
        <v>1.2</v>
      </c>
      <c r="M1154" s="70">
        <v>1</v>
      </c>
      <c r="N1154" s="15">
        <f t="shared" si="64"/>
        <v>157</v>
      </c>
      <c r="O1154" s="15">
        <f t="shared" si="65"/>
        <v>4.7</v>
      </c>
      <c r="P1154" s="15">
        <f>IF(G1154,INDEX(monster!$J$2:$J$681,MATCH(skill!C1154,monster!$A$2:$A$681,0)),Q1154)</f>
        <v>5</v>
      </c>
      <c r="R1154" s="80">
        <v>400</v>
      </c>
    </row>
    <row r="1155" spans="1:18" x14ac:dyDescent="0.15">
      <c r="A1155" s="53">
        <v>15277</v>
      </c>
      <c r="B1155" s="53" t="s">
        <v>2739</v>
      </c>
      <c r="C1155" s="31">
        <v>1416</v>
      </c>
      <c r="D1155" s="32">
        <v>10</v>
      </c>
      <c r="E1155" s="15">
        <f>INDEX(monster!$H$2:$H$681,MATCH(skill!C1155,monster!$A$2:$A$681,0))</f>
        <v>146.44</v>
      </c>
      <c r="F1155" s="15">
        <f>INDEX(monster!$I$2:$I$681,MATCH(C1155,monster!$A$2:$A$681,0))</f>
        <v>4.3899999999999997</v>
      </c>
      <c r="G1155" s="70" t="b">
        <v>1</v>
      </c>
      <c r="H1155" s="31">
        <v>0</v>
      </c>
      <c r="I1155" s="15">
        <f>IF(H1155&gt;0,HLOOKUP(R1155/100,数值规划表!$B$37:$AA$39,3),1)</f>
        <v>1</v>
      </c>
      <c r="J1155" s="31" t="s">
        <v>1625</v>
      </c>
      <c r="K1155" s="15">
        <f>INDEX(数值规划表!$B$15:$B$18,MATCH(J1155,攻击范围,0))</f>
        <v>1</v>
      </c>
      <c r="L1155" s="70">
        <v>1.2</v>
      </c>
      <c r="M1155" s="70">
        <v>1</v>
      </c>
      <c r="N1155" s="15">
        <f t="shared" si="64"/>
        <v>176</v>
      </c>
      <c r="O1155" s="15">
        <f t="shared" si="65"/>
        <v>5.27</v>
      </c>
      <c r="P1155" s="15">
        <f>IF(G1155,INDEX(monster!$J$2:$J$681,MATCH(skill!C1155,monster!$A$2:$A$681,0)),Q1155)</f>
        <v>5</v>
      </c>
      <c r="R1155" s="80">
        <v>400</v>
      </c>
    </row>
    <row r="1156" spans="1:18" x14ac:dyDescent="0.15">
      <c r="A1156" s="53">
        <v>15278</v>
      </c>
      <c r="B1156" s="53" t="s">
        <v>2893</v>
      </c>
      <c r="C1156" s="31">
        <v>0</v>
      </c>
      <c r="D1156" s="32">
        <v>0</v>
      </c>
      <c r="E1156" s="15">
        <f>数值规划表!D79</f>
        <v>362.38</v>
      </c>
      <c r="F1156" s="15">
        <f>ROUND(E1156*数值规划表!$F$57,2)</f>
        <v>10.87</v>
      </c>
      <c r="G1156" s="70" t="b">
        <v>0</v>
      </c>
      <c r="H1156" s="31">
        <v>0</v>
      </c>
      <c r="I1156" s="15">
        <f>IF(H1156&gt;0,HLOOKUP(R1156/100,数值规划表!$B$37:$AA$39,3),1)</f>
        <v>1</v>
      </c>
      <c r="J1156" s="31" t="s">
        <v>1628</v>
      </c>
      <c r="K1156" s="15">
        <f>INDEX(数值规划表!$B$15:$B$18,MATCH(J1156,攻击范围,0))</f>
        <v>0.5</v>
      </c>
      <c r="L1156" s="30">
        <v>0.3</v>
      </c>
      <c r="M1156" s="70">
        <v>1</v>
      </c>
      <c r="N1156" s="15">
        <f t="shared" si="64"/>
        <v>54</v>
      </c>
      <c r="O1156" s="15">
        <f t="shared" si="65"/>
        <v>1.63</v>
      </c>
      <c r="P1156" s="15">
        <f>IF(G1156,INDEX(monster!$J$2:$J$681,MATCH(skill!C1156,monster!$A$2:$A$681,0)),Q1156)</f>
        <v>20</v>
      </c>
      <c r="Q1156" s="70">
        <v>20</v>
      </c>
      <c r="R1156" s="81">
        <v>1500</v>
      </c>
    </row>
    <row r="1157" spans="1:18" x14ac:dyDescent="0.15">
      <c r="A1157" s="53">
        <v>15279</v>
      </c>
      <c r="B1157" s="53" t="s">
        <v>3069</v>
      </c>
      <c r="C1157" s="31">
        <v>0</v>
      </c>
      <c r="D1157" s="32">
        <v>1</v>
      </c>
      <c r="E1157" s="15">
        <f>数值规划表!D80</f>
        <v>481.0711106055756</v>
      </c>
      <c r="F1157" s="15">
        <f>ROUND(E1157*数值规划表!$F$57,2)</f>
        <v>14.43</v>
      </c>
      <c r="G1157" s="70" t="b">
        <v>0</v>
      </c>
      <c r="H1157" s="31">
        <v>0</v>
      </c>
      <c r="I1157" s="15">
        <f>IF(H1157&gt;0,HLOOKUP(R1157/100,数值规划表!$B$37:$AA$39,3),1)</f>
        <v>1</v>
      </c>
      <c r="J1157" s="31" t="s">
        <v>1628</v>
      </c>
      <c r="K1157" s="15">
        <f>INDEX(数值规划表!$B$15:$B$18,MATCH(J1157,攻击范围,0))</f>
        <v>0.5</v>
      </c>
      <c r="L1157" s="70">
        <v>0.3</v>
      </c>
      <c r="M1157" s="70">
        <v>1</v>
      </c>
      <c r="N1157" s="15">
        <f t="shared" si="64"/>
        <v>72</v>
      </c>
      <c r="O1157" s="15">
        <f t="shared" si="65"/>
        <v>2.16</v>
      </c>
      <c r="P1157" s="15">
        <f>IF(G1157,INDEX(monster!$J$2:$J$681,MATCH(skill!C1157,monster!$A$2:$A$681,0)),Q1157)</f>
        <v>20</v>
      </c>
      <c r="Q1157" s="70">
        <v>20</v>
      </c>
      <c r="R1157" s="81">
        <v>1500</v>
      </c>
    </row>
    <row r="1158" spans="1:18" x14ac:dyDescent="0.15">
      <c r="A1158" s="53">
        <v>15280</v>
      </c>
      <c r="B1158" s="53" t="s">
        <v>3070</v>
      </c>
      <c r="C1158" s="31">
        <v>0</v>
      </c>
      <c r="D1158" s="32">
        <v>2</v>
      </c>
      <c r="E1158" s="15">
        <f>数值规划表!D81</f>
        <v>638.6373791580163</v>
      </c>
      <c r="F1158" s="15">
        <f>ROUND(E1158*数值规划表!$F$57,2)</f>
        <v>19.16</v>
      </c>
      <c r="G1158" s="70" t="b">
        <v>0</v>
      </c>
      <c r="H1158" s="31">
        <v>0</v>
      </c>
      <c r="I1158" s="15">
        <f>IF(H1158&gt;0,HLOOKUP(R1158/100,数值规划表!$B$37:$AA$39,3),1)</f>
        <v>1</v>
      </c>
      <c r="J1158" s="31" t="s">
        <v>1628</v>
      </c>
      <c r="K1158" s="15">
        <f>INDEX(数值规划表!$B$15:$B$18,MATCH(J1158,攻击范围,0))</f>
        <v>0.5</v>
      </c>
      <c r="L1158" s="70">
        <v>0.3</v>
      </c>
      <c r="M1158" s="70">
        <v>1</v>
      </c>
      <c r="N1158" s="15">
        <f t="shared" si="64"/>
        <v>96</v>
      </c>
      <c r="O1158" s="15">
        <f t="shared" si="65"/>
        <v>2.87</v>
      </c>
      <c r="P1158" s="15">
        <f>IF(G1158,INDEX(monster!$J$2:$J$681,MATCH(skill!C1158,monster!$A$2:$A$681,0)),Q1158)</f>
        <v>20</v>
      </c>
      <c r="Q1158" s="70">
        <v>20</v>
      </c>
      <c r="R1158" s="81">
        <v>1500</v>
      </c>
    </row>
    <row r="1159" spans="1:18" x14ac:dyDescent="0.15">
      <c r="A1159" s="53">
        <v>15281</v>
      </c>
      <c r="B1159" s="53" t="s">
        <v>3071</v>
      </c>
      <c r="C1159" s="31">
        <v>0</v>
      </c>
      <c r="D1159" s="32">
        <v>3</v>
      </c>
      <c r="E1159" s="15">
        <f>数值规划表!D82</f>
        <v>847.81167080352384</v>
      </c>
      <c r="F1159" s="15">
        <f>ROUND(E1159*数值规划表!$F$57,2)</f>
        <v>25.43</v>
      </c>
      <c r="G1159" s="70" t="b">
        <v>0</v>
      </c>
      <c r="H1159" s="31">
        <v>0</v>
      </c>
      <c r="I1159" s="15">
        <f>IF(H1159&gt;0,HLOOKUP(R1159/100,数值规划表!$B$37:$AA$39,3),1)</f>
        <v>1</v>
      </c>
      <c r="J1159" s="31" t="s">
        <v>1628</v>
      </c>
      <c r="K1159" s="15">
        <f>INDEX(数值规划表!$B$15:$B$18,MATCH(J1159,攻击范围,0))</f>
        <v>0.5</v>
      </c>
      <c r="L1159" s="70">
        <v>0.3</v>
      </c>
      <c r="M1159" s="70">
        <v>1</v>
      </c>
      <c r="N1159" s="15">
        <f t="shared" si="64"/>
        <v>127</v>
      </c>
      <c r="O1159" s="15">
        <f t="shared" si="65"/>
        <v>3.81</v>
      </c>
      <c r="P1159" s="15">
        <f>IF(G1159,INDEX(monster!$J$2:$J$681,MATCH(skill!C1159,monster!$A$2:$A$681,0)),Q1159)</f>
        <v>20</v>
      </c>
      <c r="Q1159" s="70">
        <v>20</v>
      </c>
      <c r="R1159" s="81">
        <v>1500</v>
      </c>
    </row>
    <row r="1160" spans="1:18" x14ac:dyDescent="0.15">
      <c r="A1160" s="53">
        <v>15282</v>
      </c>
      <c r="B1160" s="53" t="s">
        <v>3072</v>
      </c>
      <c r="C1160" s="31">
        <v>0</v>
      </c>
      <c r="D1160" s="32">
        <v>4</v>
      </c>
      <c r="E1160" s="15">
        <f>数值规划表!D83</f>
        <v>1125.4972737397754</v>
      </c>
      <c r="F1160" s="15">
        <f>ROUND(E1160*数值规划表!$F$57,2)</f>
        <v>33.76</v>
      </c>
      <c r="G1160" s="70" t="b">
        <v>0</v>
      </c>
      <c r="H1160" s="31">
        <v>0</v>
      </c>
      <c r="I1160" s="15">
        <f>IF(H1160&gt;0,HLOOKUP(R1160/100,数值规划表!$B$37:$AA$39,3),1)</f>
        <v>1</v>
      </c>
      <c r="J1160" s="31" t="s">
        <v>1628</v>
      </c>
      <c r="K1160" s="15">
        <f>INDEX(数值规划表!$B$15:$B$18,MATCH(J1160,攻击范围,0))</f>
        <v>0.5</v>
      </c>
      <c r="L1160" s="70">
        <v>0.3</v>
      </c>
      <c r="M1160" s="70">
        <v>1</v>
      </c>
      <c r="N1160" s="15">
        <f t="shared" si="64"/>
        <v>169</v>
      </c>
      <c r="O1160" s="15">
        <f t="shared" si="65"/>
        <v>5.0599999999999996</v>
      </c>
      <c r="P1160" s="15">
        <f>IF(G1160,INDEX(monster!$J$2:$J$681,MATCH(skill!C1160,monster!$A$2:$A$681,0)),Q1160)</f>
        <v>20</v>
      </c>
      <c r="Q1160" s="70">
        <v>20</v>
      </c>
      <c r="R1160" s="81">
        <v>1500</v>
      </c>
    </row>
    <row r="1161" spans="1:18" x14ac:dyDescent="0.15">
      <c r="A1161" s="53">
        <v>15283</v>
      </c>
      <c r="B1161" s="53" t="s">
        <v>2898</v>
      </c>
      <c r="C1161" s="31">
        <v>0</v>
      </c>
      <c r="D1161" s="32">
        <v>0</v>
      </c>
      <c r="E1161" s="15">
        <f>数值规划表!C79</f>
        <v>163.62</v>
      </c>
      <c r="F1161" s="15">
        <f>ROUND(E1161*数值规划表!$F$57,2)</f>
        <v>4.91</v>
      </c>
      <c r="G1161" s="70" t="b">
        <v>0</v>
      </c>
      <c r="H1161" s="31">
        <v>0</v>
      </c>
      <c r="I1161" s="15">
        <f>IF(H1161&gt;0,HLOOKUP(R1161/100,数值规划表!$B$37:$AA$39,3),1)</f>
        <v>1</v>
      </c>
      <c r="J1161" s="31" t="s">
        <v>1628</v>
      </c>
      <c r="K1161" s="15">
        <f>INDEX(数值规划表!$B$15:$B$18,MATCH(J1161,攻击范围,0))</f>
        <v>0.5</v>
      </c>
      <c r="L1161" s="70">
        <v>0.3</v>
      </c>
      <c r="M1161" s="70">
        <v>1</v>
      </c>
      <c r="N1161" s="15">
        <f t="shared" si="64"/>
        <v>25</v>
      </c>
      <c r="O1161" s="15">
        <f t="shared" si="65"/>
        <v>0.74</v>
      </c>
      <c r="P1161" s="15">
        <f>IF(G1161,INDEX(monster!$J$2:$J$681,MATCH(skill!C1161,monster!$A$2:$A$681,0)),Q1161)</f>
        <v>20</v>
      </c>
      <c r="Q1161" s="70">
        <v>20</v>
      </c>
      <c r="R1161" s="81">
        <v>1500</v>
      </c>
    </row>
    <row r="1162" spans="1:18" x14ac:dyDescent="0.15">
      <c r="A1162" s="53">
        <v>15284</v>
      </c>
      <c r="B1162" s="53" t="s">
        <v>3073</v>
      </c>
      <c r="C1162" s="31">
        <v>0</v>
      </c>
      <c r="D1162" s="32">
        <v>1</v>
      </c>
      <c r="E1162" s="15">
        <f>数值规划表!C80</f>
        <v>217.21081493814305</v>
      </c>
      <c r="F1162" s="15">
        <f>ROUND(E1162*数值规划表!$F$57,2)</f>
        <v>6.52</v>
      </c>
      <c r="G1162" s="70" t="b">
        <v>0</v>
      </c>
      <c r="H1162" s="31">
        <v>0</v>
      </c>
      <c r="I1162" s="15">
        <f>IF(H1162&gt;0,HLOOKUP(R1162/100,数值规划表!$B$37:$AA$39,3),1)</f>
        <v>1</v>
      </c>
      <c r="J1162" s="31" t="s">
        <v>1628</v>
      </c>
      <c r="K1162" s="15">
        <f>INDEX(数值规划表!$B$15:$B$18,MATCH(J1162,攻击范围,0))</f>
        <v>0.5</v>
      </c>
      <c r="L1162" s="70">
        <v>0.3</v>
      </c>
      <c r="M1162" s="70">
        <v>1</v>
      </c>
      <c r="N1162" s="15">
        <f t="shared" si="64"/>
        <v>33</v>
      </c>
      <c r="O1162" s="15">
        <f t="shared" si="65"/>
        <v>0.98</v>
      </c>
      <c r="P1162" s="15">
        <f>IF(G1162,INDEX(monster!$J$2:$J$681,MATCH(skill!C1162,monster!$A$2:$A$681,0)),Q1162)</f>
        <v>20</v>
      </c>
      <c r="Q1162" s="70">
        <v>20</v>
      </c>
      <c r="R1162" s="81">
        <v>1500</v>
      </c>
    </row>
    <row r="1163" spans="1:18" x14ac:dyDescent="0.15">
      <c r="A1163" s="53">
        <v>15285</v>
      </c>
      <c r="B1163" s="53" t="s">
        <v>3074</v>
      </c>
      <c r="C1163" s="31">
        <v>0</v>
      </c>
      <c r="D1163" s="32">
        <v>2</v>
      </c>
      <c r="E1163" s="15">
        <f>数值规划表!C81</f>
        <v>288.35434620518413</v>
      </c>
      <c r="F1163" s="15">
        <f>ROUND(E1163*数值规划表!$F$57,2)</f>
        <v>8.65</v>
      </c>
      <c r="G1163" s="70" t="b">
        <v>0</v>
      </c>
      <c r="H1163" s="31">
        <v>0</v>
      </c>
      <c r="I1163" s="15">
        <f>IF(H1163&gt;0,HLOOKUP(R1163/100,数值规划表!$B$37:$AA$39,3),1)</f>
        <v>1</v>
      </c>
      <c r="J1163" s="31" t="s">
        <v>1628</v>
      </c>
      <c r="K1163" s="15">
        <f>INDEX(数值规划表!$B$15:$B$18,MATCH(J1163,攻击范围,0))</f>
        <v>0.5</v>
      </c>
      <c r="L1163" s="70">
        <v>0.3</v>
      </c>
      <c r="M1163" s="70">
        <v>1</v>
      </c>
      <c r="N1163" s="15">
        <f t="shared" si="64"/>
        <v>43</v>
      </c>
      <c r="O1163" s="15">
        <f t="shared" si="65"/>
        <v>1.3</v>
      </c>
      <c r="P1163" s="15">
        <f>IF(G1163,INDEX(monster!$J$2:$J$681,MATCH(skill!C1163,monster!$A$2:$A$681,0)),Q1163)</f>
        <v>20</v>
      </c>
      <c r="Q1163" s="70">
        <v>20</v>
      </c>
      <c r="R1163" s="81">
        <v>1500</v>
      </c>
    </row>
    <row r="1164" spans="1:18" x14ac:dyDescent="0.15">
      <c r="A1164" s="53">
        <v>15286</v>
      </c>
      <c r="B1164" s="53" t="s">
        <v>3075</v>
      </c>
      <c r="C1164" s="31">
        <v>0</v>
      </c>
      <c r="D1164" s="32">
        <v>3</v>
      </c>
      <c r="E1164" s="15">
        <f>数值规划表!C82</f>
        <v>382.7996732073309</v>
      </c>
      <c r="F1164" s="15">
        <f>ROUND(E1164*数值规划表!$F$57,2)</f>
        <v>11.48</v>
      </c>
      <c r="G1164" s="70" t="b">
        <v>0</v>
      </c>
      <c r="H1164" s="31">
        <v>0</v>
      </c>
      <c r="I1164" s="15">
        <f>IF(H1164&gt;0,HLOOKUP(R1164/100,数值规划表!$B$37:$AA$39,3),1)</f>
        <v>1</v>
      </c>
      <c r="J1164" s="31" t="s">
        <v>1628</v>
      </c>
      <c r="K1164" s="15">
        <f>INDEX(数值规划表!$B$15:$B$18,MATCH(J1164,攻击范围,0))</f>
        <v>0.5</v>
      </c>
      <c r="L1164" s="70">
        <v>0.3</v>
      </c>
      <c r="M1164" s="70">
        <v>1</v>
      </c>
      <c r="N1164" s="15">
        <f t="shared" si="64"/>
        <v>57</v>
      </c>
      <c r="O1164" s="15">
        <f t="shared" si="65"/>
        <v>1.72</v>
      </c>
      <c r="P1164" s="15">
        <f>IF(G1164,INDEX(monster!$J$2:$J$681,MATCH(skill!C1164,monster!$A$2:$A$681,0)),Q1164)</f>
        <v>20</v>
      </c>
      <c r="Q1164" s="70">
        <v>20</v>
      </c>
      <c r="R1164" s="81">
        <v>1500</v>
      </c>
    </row>
    <row r="1165" spans="1:18" x14ac:dyDescent="0.15">
      <c r="A1165" s="53">
        <v>15287</v>
      </c>
      <c r="B1165" s="53" t="s">
        <v>3076</v>
      </c>
      <c r="C1165" s="31">
        <v>0</v>
      </c>
      <c r="D1165" s="32">
        <v>4</v>
      </c>
      <c r="E1165" s="15">
        <f>数值规划表!C83</f>
        <v>508.17888384928</v>
      </c>
      <c r="F1165" s="15">
        <f>ROUND(E1165*数值规划表!$F$57,2)</f>
        <v>15.25</v>
      </c>
      <c r="G1165" s="70" t="b">
        <v>0</v>
      </c>
      <c r="H1165" s="31">
        <v>0</v>
      </c>
      <c r="I1165" s="15">
        <f>IF(H1165&gt;0,HLOOKUP(R1165/100,数值规划表!$B$37:$AA$39,3),1)</f>
        <v>1</v>
      </c>
      <c r="J1165" s="31" t="s">
        <v>1628</v>
      </c>
      <c r="K1165" s="15">
        <f>INDEX(数值规划表!$B$15:$B$18,MATCH(J1165,攻击范围,0))</f>
        <v>0.5</v>
      </c>
      <c r="L1165" s="70">
        <v>0.3</v>
      </c>
      <c r="M1165" s="70">
        <v>1</v>
      </c>
      <c r="N1165" s="15">
        <f t="shared" si="64"/>
        <v>76</v>
      </c>
      <c r="O1165" s="15">
        <f t="shared" si="65"/>
        <v>2.29</v>
      </c>
      <c r="P1165" s="15">
        <f>IF(G1165,INDEX(monster!$J$2:$J$681,MATCH(skill!C1165,monster!$A$2:$A$681,0)),Q1165)</f>
        <v>20</v>
      </c>
      <c r="Q1165" s="70">
        <v>20</v>
      </c>
      <c r="R1165" s="81">
        <v>1500</v>
      </c>
    </row>
    <row r="1166" spans="1:18" x14ac:dyDescent="0.15">
      <c r="A1166" s="53">
        <v>15288</v>
      </c>
      <c r="B1166" s="53" t="s">
        <v>2910</v>
      </c>
      <c r="C1166" s="53">
        <v>2088</v>
      </c>
      <c r="D1166" s="32">
        <v>0</v>
      </c>
      <c r="E1166" s="15">
        <f>INDEX(monster!$H$2:$H$681,MATCH(skill!C1166,monster!$A$2:$A$681,0))</f>
        <v>72.98</v>
      </c>
      <c r="F1166" s="15">
        <f>INDEX(monster!$I$2:$I$681,MATCH(C1166,monster!$A$2:$A$681,0))</f>
        <v>2.19</v>
      </c>
      <c r="G1166" s="70" t="b">
        <v>1</v>
      </c>
      <c r="H1166" s="31">
        <v>1</v>
      </c>
      <c r="I1166" s="15">
        <f>IF(H1166&gt;0,HLOOKUP(R1166/100,数值规划表!$B$37:$AA$39,3),1)</f>
        <v>1.296</v>
      </c>
      <c r="J1166" s="31" t="s">
        <v>1625</v>
      </c>
      <c r="K1166" s="15">
        <f>INDEX(数值规划表!$B$15:$B$18,MATCH(J1166,攻击范围,0))</f>
        <v>1</v>
      </c>
      <c r="L1166" s="30">
        <v>1</v>
      </c>
      <c r="M1166" s="41">
        <v>1</v>
      </c>
      <c r="N1166" s="15">
        <f t="shared" si="64"/>
        <v>95</v>
      </c>
      <c r="O1166" s="15">
        <f t="shared" si="65"/>
        <v>2.84</v>
      </c>
      <c r="P1166" s="15">
        <f>IF(G1166,INDEX(monster!$J$2:$J$681,MATCH(skill!C1166,monster!$A$2:$A$681,0)),Q1166)</f>
        <v>1.2</v>
      </c>
      <c r="R1166" s="81">
        <v>120</v>
      </c>
    </row>
    <row r="1167" spans="1:18" x14ac:dyDescent="0.15">
      <c r="A1167" s="53">
        <v>15289</v>
      </c>
      <c r="B1167" s="53" t="s">
        <v>2911</v>
      </c>
      <c r="C1167" s="53">
        <v>2089</v>
      </c>
      <c r="D1167" s="32">
        <v>1</v>
      </c>
      <c r="E1167" s="15">
        <f>INDEX(monster!$H$2:$H$681,MATCH(skill!C1167,monster!$A$2:$A$681,0))</f>
        <v>81.739999999999995</v>
      </c>
      <c r="F1167" s="15">
        <f>INDEX(monster!$I$2:$I$681,MATCH(C1167,monster!$A$2:$A$681,0))</f>
        <v>2.4500000000000002</v>
      </c>
      <c r="G1167" s="70" t="b">
        <v>1</v>
      </c>
      <c r="H1167" s="31">
        <v>1</v>
      </c>
      <c r="I1167" s="15">
        <f>IF(H1167&gt;0,HLOOKUP(R1167/100,数值规划表!$B$37:$AA$39,3),1)</f>
        <v>1.296</v>
      </c>
      <c r="J1167" s="31" t="s">
        <v>1625</v>
      </c>
      <c r="K1167" s="15">
        <f>INDEX(数值规划表!$B$15:$B$18,MATCH(J1167,攻击范围,0))</f>
        <v>1</v>
      </c>
      <c r="L1167" s="70">
        <v>1</v>
      </c>
      <c r="M1167" s="70">
        <v>1</v>
      </c>
      <c r="N1167" s="15">
        <f t="shared" si="64"/>
        <v>106</v>
      </c>
      <c r="O1167" s="15">
        <f t="shared" si="65"/>
        <v>3.18</v>
      </c>
      <c r="P1167" s="15">
        <f>IF(G1167,INDEX(monster!$J$2:$J$681,MATCH(skill!C1167,monster!$A$2:$A$681,0)),Q1167)</f>
        <v>1.2</v>
      </c>
      <c r="R1167" s="81">
        <v>120</v>
      </c>
    </row>
    <row r="1168" spans="1:18" x14ac:dyDescent="0.15">
      <c r="A1168" s="53">
        <v>15290</v>
      </c>
      <c r="B1168" s="53" t="s">
        <v>3077</v>
      </c>
      <c r="C1168" s="53">
        <v>2090</v>
      </c>
      <c r="D1168" s="32">
        <v>2</v>
      </c>
      <c r="E1168" s="15">
        <f>INDEX(monster!$H$2:$H$681,MATCH(skill!C1168,monster!$A$2:$A$681,0))</f>
        <v>91.55</v>
      </c>
      <c r="F1168" s="15">
        <f>INDEX(monster!$I$2:$I$681,MATCH(C1168,monster!$A$2:$A$681,0))</f>
        <v>2.75</v>
      </c>
      <c r="G1168" s="70" t="b">
        <v>1</v>
      </c>
      <c r="H1168" s="31">
        <v>1</v>
      </c>
      <c r="I1168" s="15">
        <f>IF(H1168&gt;0,HLOOKUP(R1168/100,数值规划表!$B$37:$AA$39,3),1)</f>
        <v>1.296</v>
      </c>
      <c r="J1168" s="31" t="s">
        <v>1625</v>
      </c>
      <c r="K1168" s="15">
        <f>INDEX(数值规划表!$B$15:$B$18,MATCH(J1168,攻击范围,0))</f>
        <v>1</v>
      </c>
      <c r="L1168" s="70">
        <v>1</v>
      </c>
      <c r="M1168" s="70">
        <v>1</v>
      </c>
      <c r="N1168" s="15">
        <f t="shared" si="64"/>
        <v>119</v>
      </c>
      <c r="O1168" s="15">
        <f t="shared" si="65"/>
        <v>3.56</v>
      </c>
      <c r="P1168" s="15">
        <f>IF(G1168,INDEX(monster!$J$2:$J$681,MATCH(skill!C1168,monster!$A$2:$A$681,0)),Q1168)</f>
        <v>1.2</v>
      </c>
      <c r="R1168" s="81">
        <v>120</v>
      </c>
    </row>
    <row r="1169" spans="1:18" x14ac:dyDescent="0.15">
      <c r="A1169" s="53">
        <v>15291</v>
      </c>
      <c r="B1169" s="53" t="s">
        <v>3078</v>
      </c>
      <c r="C1169" s="53">
        <v>2091</v>
      </c>
      <c r="D1169" s="32">
        <v>3</v>
      </c>
      <c r="E1169" s="15">
        <f>INDEX(monster!$H$2:$H$681,MATCH(skill!C1169,monster!$A$2:$A$681,0))</f>
        <v>102.53</v>
      </c>
      <c r="F1169" s="15">
        <f>INDEX(monster!$I$2:$I$681,MATCH(C1169,monster!$A$2:$A$681,0))</f>
        <v>3.08</v>
      </c>
      <c r="G1169" s="70" t="b">
        <v>1</v>
      </c>
      <c r="H1169" s="31">
        <v>1</v>
      </c>
      <c r="I1169" s="15">
        <f>IF(H1169&gt;0,HLOOKUP(R1169/100,数值规划表!$B$37:$AA$39,3),1)</f>
        <v>1.296</v>
      </c>
      <c r="J1169" s="31" t="s">
        <v>1625</v>
      </c>
      <c r="K1169" s="15">
        <f>INDEX(数值规划表!$B$15:$B$18,MATCH(J1169,攻击范围,0))</f>
        <v>1</v>
      </c>
      <c r="L1169" s="70">
        <v>1</v>
      </c>
      <c r="M1169" s="70">
        <v>1</v>
      </c>
      <c r="N1169" s="15">
        <f t="shared" si="64"/>
        <v>133</v>
      </c>
      <c r="O1169" s="15">
        <f t="shared" si="65"/>
        <v>3.99</v>
      </c>
      <c r="P1169" s="15">
        <f>IF(G1169,INDEX(monster!$J$2:$J$681,MATCH(skill!C1169,monster!$A$2:$A$681,0)),Q1169)</f>
        <v>1.2</v>
      </c>
      <c r="R1169" s="81">
        <v>120</v>
      </c>
    </row>
    <row r="1170" spans="1:18" x14ac:dyDescent="0.15">
      <c r="A1170" s="53">
        <v>15292</v>
      </c>
      <c r="B1170" s="53" t="s">
        <v>3079</v>
      </c>
      <c r="C1170" s="53">
        <v>2092</v>
      </c>
      <c r="D1170" s="32">
        <v>4</v>
      </c>
      <c r="E1170" s="15">
        <f>INDEX(monster!$H$2:$H$681,MATCH(skill!C1170,monster!$A$2:$A$681,0))</f>
        <v>114.84</v>
      </c>
      <c r="F1170" s="15">
        <f>INDEX(monster!$I$2:$I$681,MATCH(C1170,monster!$A$2:$A$681,0))</f>
        <v>3.45</v>
      </c>
      <c r="G1170" s="70" t="b">
        <v>1</v>
      </c>
      <c r="H1170" s="31">
        <v>1</v>
      </c>
      <c r="I1170" s="15">
        <f>IF(H1170&gt;0,HLOOKUP(R1170/100,数值规划表!$B$37:$AA$39,3),1)</f>
        <v>1.296</v>
      </c>
      <c r="J1170" s="31" t="s">
        <v>1625</v>
      </c>
      <c r="K1170" s="15">
        <f>INDEX(数值规划表!$B$15:$B$18,MATCH(J1170,攻击范围,0))</f>
        <v>1</v>
      </c>
      <c r="L1170" s="70">
        <v>1</v>
      </c>
      <c r="M1170" s="70">
        <v>1</v>
      </c>
      <c r="N1170" s="15">
        <f t="shared" si="64"/>
        <v>149</v>
      </c>
      <c r="O1170" s="15">
        <f t="shared" si="65"/>
        <v>4.47</v>
      </c>
      <c r="P1170" s="15">
        <f>IF(G1170,INDEX(monster!$J$2:$J$681,MATCH(skill!C1170,monster!$A$2:$A$681,0)),Q1170)</f>
        <v>1.2</v>
      </c>
      <c r="R1170" s="81">
        <v>120</v>
      </c>
    </row>
    <row r="1171" spans="1:18" x14ac:dyDescent="0.15">
      <c r="A1171" s="53">
        <v>15293</v>
      </c>
      <c r="B1171" s="53" t="s">
        <v>3080</v>
      </c>
      <c r="C1171" s="53">
        <v>2093</v>
      </c>
      <c r="D1171" s="32">
        <v>5</v>
      </c>
      <c r="E1171" s="15">
        <f>INDEX(monster!$H$2:$H$681,MATCH(skill!C1171,monster!$A$2:$A$681,0))</f>
        <v>128.62</v>
      </c>
      <c r="F1171" s="15">
        <f>INDEX(monster!$I$2:$I$681,MATCH(C1171,monster!$A$2:$A$681,0))</f>
        <v>3.86</v>
      </c>
      <c r="G1171" s="70" t="b">
        <v>1</v>
      </c>
      <c r="H1171" s="31">
        <v>1</v>
      </c>
      <c r="I1171" s="15">
        <f>IF(H1171&gt;0,HLOOKUP(R1171/100,数值规划表!$B$37:$AA$39,3),1)</f>
        <v>1.296</v>
      </c>
      <c r="J1171" s="31" t="s">
        <v>1625</v>
      </c>
      <c r="K1171" s="15">
        <f>INDEX(数值规划表!$B$15:$B$18,MATCH(J1171,攻击范围,0))</f>
        <v>1</v>
      </c>
      <c r="L1171" s="70">
        <v>1</v>
      </c>
      <c r="M1171" s="70">
        <v>1</v>
      </c>
      <c r="N1171" s="15">
        <f t="shared" si="64"/>
        <v>167</v>
      </c>
      <c r="O1171" s="15">
        <f t="shared" si="65"/>
        <v>5</v>
      </c>
      <c r="P1171" s="15">
        <f>IF(G1171,INDEX(monster!$J$2:$J$681,MATCH(skill!C1171,monster!$A$2:$A$681,0)),Q1171)</f>
        <v>1.2</v>
      </c>
      <c r="R1171" s="81">
        <v>120</v>
      </c>
    </row>
    <row r="1172" spans="1:18" x14ac:dyDescent="0.15">
      <c r="A1172" s="53">
        <v>15294</v>
      </c>
      <c r="B1172" s="53" t="s">
        <v>3081</v>
      </c>
      <c r="C1172" s="53">
        <v>2094</v>
      </c>
      <c r="D1172" s="32">
        <v>6</v>
      </c>
      <c r="E1172" s="15">
        <f>INDEX(monster!$H$2:$H$681,MATCH(skill!C1172,monster!$A$2:$A$681,0))</f>
        <v>144.05000000000001</v>
      </c>
      <c r="F1172" s="15">
        <f>INDEX(monster!$I$2:$I$681,MATCH(C1172,monster!$A$2:$A$681,0))</f>
        <v>4.32</v>
      </c>
      <c r="G1172" s="70" t="b">
        <v>1</v>
      </c>
      <c r="H1172" s="31">
        <v>1</v>
      </c>
      <c r="I1172" s="15">
        <f>IF(H1172&gt;0,HLOOKUP(R1172/100,数值规划表!$B$37:$AA$39,3),1)</f>
        <v>1.296</v>
      </c>
      <c r="J1172" s="31" t="s">
        <v>1625</v>
      </c>
      <c r="K1172" s="15">
        <f>INDEX(数值规划表!$B$15:$B$18,MATCH(J1172,攻击范围,0))</f>
        <v>1</v>
      </c>
      <c r="L1172" s="70">
        <v>1</v>
      </c>
      <c r="M1172" s="70">
        <v>1</v>
      </c>
      <c r="N1172" s="15">
        <f t="shared" si="64"/>
        <v>187</v>
      </c>
      <c r="O1172" s="15">
        <f t="shared" si="65"/>
        <v>5.6</v>
      </c>
      <c r="P1172" s="15">
        <f>IF(G1172,INDEX(monster!$J$2:$J$681,MATCH(skill!C1172,monster!$A$2:$A$681,0)),Q1172)</f>
        <v>1.2</v>
      </c>
      <c r="R1172" s="81">
        <v>120</v>
      </c>
    </row>
    <row r="1173" spans="1:18" x14ac:dyDescent="0.15">
      <c r="A1173" s="53">
        <v>15295</v>
      </c>
      <c r="B1173" s="53" t="s">
        <v>3082</v>
      </c>
      <c r="C1173" s="53">
        <v>2095</v>
      </c>
      <c r="D1173" s="32">
        <v>7</v>
      </c>
      <c r="E1173" s="15">
        <f>INDEX(monster!$H$2:$H$681,MATCH(skill!C1173,monster!$A$2:$A$681,0))</f>
        <v>161.34</v>
      </c>
      <c r="F1173" s="15">
        <f>INDEX(monster!$I$2:$I$681,MATCH(C1173,monster!$A$2:$A$681,0))</f>
        <v>4.84</v>
      </c>
      <c r="G1173" s="70" t="b">
        <v>1</v>
      </c>
      <c r="H1173" s="31">
        <v>1</v>
      </c>
      <c r="I1173" s="15">
        <f>IF(H1173&gt;0,HLOOKUP(R1173/100,数值规划表!$B$37:$AA$39,3),1)</f>
        <v>1.296</v>
      </c>
      <c r="J1173" s="31" t="s">
        <v>1625</v>
      </c>
      <c r="K1173" s="15">
        <f>INDEX(数值规划表!$B$15:$B$18,MATCH(J1173,攻击范围,0))</f>
        <v>1</v>
      </c>
      <c r="L1173" s="70">
        <v>1</v>
      </c>
      <c r="M1173" s="70">
        <v>1</v>
      </c>
      <c r="N1173" s="15">
        <f t="shared" si="64"/>
        <v>209</v>
      </c>
      <c r="O1173" s="15">
        <f t="shared" si="65"/>
        <v>6.27</v>
      </c>
      <c r="P1173" s="15">
        <f>IF(G1173,INDEX(monster!$J$2:$J$681,MATCH(skill!C1173,monster!$A$2:$A$681,0)),Q1173)</f>
        <v>1.2</v>
      </c>
      <c r="R1173" s="81">
        <v>120</v>
      </c>
    </row>
    <row r="1174" spans="1:18" x14ac:dyDescent="0.15">
      <c r="A1174" s="53">
        <v>15296</v>
      </c>
      <c r="B1174" s="53" t="s">
        <v>3083</v>
      </c>
      <c r="C1174" s="53">
        <v>2096</v>
      </c>
      <c r="D1174" s="32">
        <v>8</v>
      </c>
      <c r="E1174" s="15">
        <f>INDEX(monster!$H$2:$H$681,MATCH(skill!C1174,monster!$A$2:$A$681,0))</f>
        <v>180.7</v>
      </c>
      <c r="F1174" s="15">
        <f>INDEX(monster!$I$2:$I$681,MATCH(C1174,monster!$A$2:$A$681,0))</f>
        <v>5.42</v>
      </c>
      <c r="G1174" s="70" t="b">
        <v>1</v>
      </c>
      <c r="H1174" s="31">
        <v>1</v>
      </c>
      <c r="I1174" s="15">
        <f>IF(H1174&gt;0,HLOOKUP(R1174/100,数值规划表!$B$37:$AA$39,3),1)</f>
        <v>1.296</v>
      </c>
      <c r="J1174" s="31" t="s">
        <v>1625</v>
      </c>
      <c r="K1174" s="15">
        <f>INDEX(数值规划表!$B$15:$B$18,MATCH(J1174,攻击范围,0))</f>
        <v>1</v>
      </c>
      <c r="L1174" s="70">
        <v>1</v>
      </c>
      <c r="M1174" s="70">
        <v>1</v>
      </c>
      <c r="N1174" s="15">
        <f t="shared" si="64"/>
        <v>234</v>
      </c>
      <c r="O1174" s="15">
        <f t="shared" si="65"/>
        <v>7.02</v>
      </c>
      <c r="P1174" s="15">
        <f>IF(G1174,INDEX(monster!$J$2:$J$681,MATCH(skill!C1174,monster!$A$2:$A$681,0)),Q1174)</f>
        <v>1.2</v>
      </c>
      <c r="R1174" s="81">
        <v>120</v>
      </c>
    </row>
    <row r="1175" spans="1:18" x14ac:dyDescent="0.15">
      <c r="A1175" s="53">
        <v>15297</v>
      </c>
      <c r="B1175" s="53" t="s">
        <v>3084</v>
      </c>
      <c r="C1175" s="53">
        <v>2097</v>
      </c>
      <c r="D1175" s="32">
        <v>9</v>
      </c>
      <c r="E1175" s="15">
        <f>INDEX(monster!$H$2:$H$681,MATCH(skill!C1175,monster!$A$2:$A$681,0))</f>
        <v>202.38</v>
      </c>
      <c r="F1175" s="15">
        <f>INDEX(monster!$I$2:$I$681,MATCH(C1175,monster!$A$2:$A$681,0))</f>
        <v>6.07</v>
      </c>
      <c r="G1175" s="70" t="b">
        <v>1</v>
      </c>
      <c r="H1175" s="31">
        <v>1</v>
      </c>
      <c r="I1175" s="15">
        <f>IF(H1175&gt;0,HLOOKUP(R1175/100,数值规划表!$B$37:$AA$39,3),1)</f>
        <v>1.296</v>
      </c>
      <c r="J1175" s="31" t="s">
        <v>1625</v>
      </c>
      <c r="K1175" s="15">
        <f>INDEX(数值规划表!$B$15:$B$18,MATCH(J1175,攻击范围,0))</f>
        <v>1</v>
      </c>
      <c r="L1175" s="70">
        <v>1</v>
      </c>
      <c r="M1175" s="70">
        <v>1</v>
      </c>
      <c r="N1175" s="15">
        <f t="shared" si="64"/>
        <v>262</v>
      </c>
      <c r="O1175" s="15">
        <f t="shared" si="65"/>
        <v>7.87</v>
      </c>
      <c r="P1175" s="15">
        <f>IF(G1175,INDEX(monster!$J$2:$J$681,MATCH(skill!C1175,monster!$A$2:$A$681,0)),Q1175)</f>
        <v>1.2</v>
      </c>
      <c r="R1175" s="81">
        <v>120</v>
      </c>
    </row>
    <row r="1176" spans="1:18" x14ac:dyDescent="0.15">
      <c r="A1176" s="53">
        <v>15298</v>
      </c>
      <c r="B1176" s="53" t="s">
        <v>3085</v>
      </c>
      <c r="C1176" s="53">
        <v>2098</v>
      </c>
      <c r="D1176" s="32">
        <v>10</v>
      </c>
      <c r="E1176" s="15">
        <f>INDEX(monster!$H$2:$H$681,MATCH(skill!C1176,monster!$A$2:$A$681,0))</f>
        <v>226.66</v>
      </c>
      <c r="F1176" s="15">
        <f>INDEX(monster!$I$2:$I$681,MATCH(C1176,monster!$A$2:$A$681,0))</f>
        <v>6.8</v>
      </c>
      <c r="G1176" s="70" t="b">
        <v>1</v>
      </c>
      <c r="H1176" s="31">
        <v>1</v>
      </c>
      <c r="I1176" s="15">
        <f>IF(H1176&gt;0,HLOOKUP(R1176/100,数值规划表!$B$37:$AA$39,3),1)</f>
        <v>1.296</v>
      </c>
      <c r="J1176" s="31" t="s">
        <v>1625</v>
      </c>
      <c r="K1176" s="15">
        <f>INDEX(数值规划表!$B$15:$B$18,MATCH(J1176,攻击范围,0))</f>
        <v>1</v>
      </c>
      <c r="L1176" s="70">
        <v>1</v>
      </c>
      <c r="M1176" s="70">
        <v>1</v>
      </c>
      <c r="N1176" s="15">
        <f t="shared" si="64"/>
        <v>294</v>
      </c>
      <c r="O1176" s="15">
        <f t="shared" si="65"/>
        <v>8.81</v>
      </c>
      <c r="P1176" s="15">
        <f>IF(G1176,INDEX(monster!$J$2:$J$681,MATCH(skill!C1176,monster!$A$2:$A$681,0)),Q1176)</f>
        <v>1.2</v>
      </c>
      <c r="R1176" s="81">
        <v>120</v>
      </c>
    </row>
    <row r="1177" spans="1:18" x14ac:dyDescent="0.15">
      <c r="A1177" s="53">
        <v>15299</v>
      </c>
      <c r="B1177" s="53" t="s">
        <v>2940</v>
      </c>
      <c r="C1177" s="53">
        <v>2099</v>
      </c>
      <c r="D1177" s="32">
        <v>0</v>
      </c>
      <c r="E1177" s="15">
        <f>INDEX(monster!$H$2:$H$681,MATCH(skill!C1177,monster!$A$2:$A$681,0))</f>
        <v>38.35</v>
      </c>
      <c r="F1177" s="15">
        <f>INDEX(monster!$I$2:$I$681,MATCH(C1177,monster!$A$2:$A$681,0))</f>
        <v>1.1499999999999999</v>
      </c>
      <c r="G1177" s="70" t="b">
        <v>1</v>
      </c>
      <c r="H1177" s="31">
        <v>1</v>
      </c>
      <c r="I1177" s="15">
        <f>IF(H1177&gt;0,HLOOKUP(R1177/100,数值规划表!$B$37:$AA$39,3),1)</f>
        <v>1.296</v>
      </c>
      <c r="J1177" s="31" t="s">
        <v>1625</v>
      </c>
      <c r="K1177" s="15">
        <f>INDEX(数值规划表!$B$15:$B$18,MATCH(J1177,攻击范围,0))</f>
        <v>1</v>
      </c>
      <c r="L1177" s="70">
        <v>0.6</v>
      </c>
      <c r="M1177" s="70">
        <v>1</v>
      </c>
      <c r="N1177" s="15">
        <f t="shared" si="64"/>
        <v>30</v>
      </c>
      <c r="O1177" s="15">
        <f t="shared" si="65"/>
        <v>0.89</v>
      </c>
      <c r="P1177" s="15">
        <f>IF(G1177,INDEX(monster!$J$2:$J$681,MATCH(skill!C1177,monster!$A$2:$A$681,0)),Q1177)</f>
        <v>6</v>
      </c>
      <c r="R1177" s="81">
        <v>120</v>
      </c>
    </row>
    <row r="1178" spans="1:18" x14ac:dyDescent="0.15">
      <c r="A1178" s="53">
        <v>15300</v>
      </c>
      <c r="B1178" s="53" t="s">
        <v>2941</v>
      </c>
      <c r="C1178" s="53">
        <v>2100</v>
      </c>
      <c r="D1178" s="32">
        <v>1</v>
      </c>
      <c r="E1178" s="15">
        <f>INDEX(monster!$H$2:$H$681,MATCH(skill!C1178,monster!$A$2:$A$681,0))</f>
        <v>42.95</v>
      </c>
      <c r="F1178" s="15">
        <f>INDEX(monster!$I$2:$I$681,MATCH(C1178,monster!$A$2:$A$681,0))</f>
        <v>1.29</v>
      </c>
      <c r="G1178" s="70" t="b">
        <v>1</v>
      </c>
      <c r="H1178" s="31">
        <v>1</v>
      </c>
      <c r="I1178" s="15">
        <f>IF(H1178&gt;0,HLOOKUP(R1178/100,数值规划表!$B$37:$AA$39,3),1)</f>
        <v>1.296</v>
      </c>
      <c r="J1178" s="31" t="s">
        <v>1625</v>
      </c>
      <c r="K1178" s="15">
        <f>INDEX(数值规划表!$B$15:$B$18,MATCH(J1178,攻击范围,0))</f>
        <v>1</v>
      </c>
      <c r="L1178" s="70">
        <v>0.6</v>
      </c>
      <c r="M1178" s="70">
        <v>1</v>
      </c>
      <c r="N1178" s="15">
        <f t="shared" si="64"/>
        <v>33</v>
      </c>
      <c r="O1178" s="15">
        <f t="shared" si="65"/>
        <v>1</v>
      </c>
      <c r="P1178" s="15">
        <f>IF(G1178,INDEX(monster!$J$2:$J$681,MATCH(skill!C1178,monster!$A$2:$A$681,0)),Q1178)</f>
        <v>6</v>
      </c>
      <c r="R1178" s="81">
        <v>120</v>
      </c>
    </row>
    <row r="1179" spans="1:18" x14ac:dyDescent="0.15">
      <c r="A1179" s="53">
        <v>15301</v>
      </c>
      <c r="B1179" s="53" t="s">
        <v>3086</v>
      </c>
      <c r="C1179" s="53">
        <v>2101</v>
      </c>
      <c r="D1179" s="32">
        <v>2</v>
      </c>
      <c r="E1179" s="15">
        <f>INDEX(monster!$H$2:$H$681,MATCH(skill!C1179,monster!$A$2:$A$681,0))</f>
        <v>48.11</v>
      </c>
      <c r="F1179" s="15">
        <f>INDEX(monster!$I$2:$I$681,MATCH(C1179,monster!$A$2:$A$681,0))</f>
        <v>1.44</v>
      </c>
      <c r="G1179" s="70" t="b">
        <v>1</v>
      </c>
      <c r="H1179" s="31">
        <v>1</v>
      </c>
      <c r="I1179" s="15">
        <f>IF(H1179&gt;0,HLOOKUP(R1179/100,数值规划表!$B$37:$AA$39,3),1)</f>
        <v>1.296</v>
      </c>
      <c r="J1179" s="31" t="s">
        <v>1625</v>
      </c>
      <c r="K1179" s="15">
        <f>INDEX(数值规划表!$B$15:$B$18,MATCH(J1179,攻击范围,0))</f>
        <v>1</v>
      </c>
      <c r="L1179" s="70">
        <v>0.6</v>
      </c>
      <c r="M1179" s="70">
        <v>1</v>
      </c>
      <c r="N1179" s="15">
        <f t="shared" si="64"/>
        <v>37</v>
      </c>
      <c r="O1179" s="15">
        <f t="shared" si="65"/>
        <v>1.1200000000000001</v>
      </c>
      <c r="P1179" s="15">
        <f>IF(G1179,INDEX(monster!$J$2:$J$681,MATCH(skill!C1179,monster!$A$2:$A$681,0)),Q1179)</f>
        <v>6</v>
      </c>
      <c r="R1179" s="81">
        <v>120</v>
      </c>
    </row>
    <row r="1180" spans="1:18" x14ac:dyDescent="0.15">
      <c r="A1180" s="53">
        <v>15302</v>
      </c>
      <c r="B1180" s="53" t="s">
        <v>3087</v>
      </c>
      <c r="C1180" s="53">
        <v>2102</v>
      </c>
      <c r="D1180" s="32">
        <v>3</v>
      </c>
      <c r="E1180" s="15">
        <f>INDEX(monster!$H$2:$H$681,MATCH(skill!C1180,monster!$A$2:$A$681,0))</f>
        <v>53.88</v>
      </c>
      <c r="F1180" s="15">
        <f>INDEX(monster!$I$2:$I$681,MATCH(C1180,monster!$A$2:$A$681,0))</f>
        <v>1.62</v>
      </c>
      <c r="G1180" s="70" t="b">
        <v>1</v>
      </c>
      <c r="H1180" s="31">
        <v>1</v>
      </c>
      <c r="I1180" s="15">
        <f>IF(H1180&gt;0,HLOOKUP(R1180/100,数值规划表!$B$37:$AA$39,3),1)</f>
        <v>1.296</v>
      </c>
      <c r="J1180" s="31" t="s">
        <v>1625</v>
      </c>
      <c r="K1180" s="15">
        <f>INDEX(数值规划表!$B$15:$B$18,MATCH(J1180,攻击范围,0))</f>
        <v>1</v>
      </c>
      <c r="L1180" s="70">
        <v>0.6</v>
      </c>
      <c r="M1180" s="70">
        <v>1</v>
      </c>
      <c r="N1180" s="15">
        <f t="shared" si="64"/>
        <v>42</v>
      </c>
      <c r="O1180" s="15">
        <f t="shared" si="65"/>
        <v>1.26</v>
      </c>
      <c r="P1180" s="15">
        <f>IF(G1180,INDEX(monster!$J$2:$J$681,MATCH(skill!C1180,monster!$A$2:$A$681,0)),Q1180)</f>
        <v>6</v>
      </c>
      <c r="R1180" s="81">
        <v>120</v>
      </c>
    </row>
    <row r="1181" spans="1:18" x14ac:dyDescent="0.15">
      <c r="A1181" s="53">
        <v>15303</v>
      </c>
      <c r="B1181" s="53" t="s">
        <v>3088</v>
      </c>
      <c r="C1181" s="53">
        <v>2103</v>
      </c>
      <c r="D1181" s="32">
        <v>4</v>
      </c>
      <c r="E1181" s="15">
        <f>INDEX(monster!$H$2:$H$681,MATCH(skill!C1181,monster!$A$2:$A$681,0))</f>
        <v>60.34</v>
      </c>
      <c r="F1181" s="15">
        <f>INDEX(monster!$I$2:$I$681,MATCH(C1181,monster!$A$2:$A$681,0))</f>
        <v>1.81</v>
      </c>
      <c r="G1181" s="70" t="b">
        <v>1</v>
      </c>
      <c r="H1181" s="31">
        <v>1</v>
      </c>
      <c r="I1181" s="15">
        <f>IF(H1181&gt;0,HLOOKUP(R1181/100,数值规划表!$B$37:$AA$39,3),1)</f>
        <v>1.296</v>
      </c>
      <c r="J1181" s="31" t="s">
        <v>1625</v>
      </c>
      <c r="K1181" s="15">
        <f>INDEX(数值规划表!$B$15:$B$18,MATCH(J1181,攻击范围,0))</f>
        <v>1</v>
      </c>
      <c r="L1181" s="70">
        <v>0.6</v>
      </c>
      <c r="M1181" s="70">
        <v>1</v>
      </c>
      <c r="N1181" s="15">
        <f t="shared" si="64"/>
        <v>47</v>
      </c>
      <c r="O1181" s="15">
        <f t="shared" si="65"/>
        <v>1.41</v>
      </c>
      <c r="P1181" s="15">
        <f>IF(G1181,INDEX(monster!$J$2:$J$681,MATCH(skill!C1181,monster!$A$2:$A$681,0)),Q1181)</f>
        <v>6</v>
      </c>
      <c r="R1181" s="81">
        <v>120</v>
      </c>
    </row>
    <row r="1182" spans="1:18" x14ac:dyDescent="0.15">
      <c r="A1182" s="53">
        <v>15304</v>
      </c>
      <c r="B1182" s="53" t="s">
        <v>3089</v>
      </c>
      <c r="C1182" s="53">
        <v>2104</v>
      </c>
      <c r="D1182" s="32">
        <v>5</v>
      </c>
      <c r="E1182" s="15">
        <f>INDEX(monster!$H$2:$H$681,MATCH(skill!C1182,monster!$A$2:$A$681,0))</f>
        <v>67.59</v>
      </c>
      <c r="F1182" s="15">
        <f>INDEX(monster!$I$2:$I$681,MATCH(C1182,monster!$A$2:$A$681,0))</f>
        <v>2.0299999999999998</v>
      </c>
      <c r="G1182" s="70" t="b">
        <v>1</v>
      </c>
      <c r="H1182" s="31">
        <v>1</v>
      </c>
      <c r="I1182" s="15">
        <f>IF(H1182&gt;0,HLOOKUP(R1182/100,数值规划表!$B$37:$AA$39,3),1)</f>
        <v>1.296</v>
      </c>
      <c r="J1182" s="31" t="s">
        <v>1625</v>
      </c>
      <c r="K1182" s="15">
        <f>INDEX(数值规划表!$B$15:$B$18,MATCH(J1182,攻击范围,0))</f>
        <v>1</v>
      </c>
      <c r="L1182" s="70">
        <v>0.6</v>
      </c>
      <c r="M1182" s="70">
        <v>1</v>
      </c>
      <c r="N1182" s="15">
        <f t="shared" si="64"/>
        <v>53</v>
      </c>
      <c r="O1182" s="15">
        <f t="shared" si="65"/>
        <v>1.58</v>
      </c>
      <c r="P1182" s="15">
        <f>IF(G1182,INDEX(monster!$J$2:$J$681,MATCH(skill!C1182,monster!$A$2:$A$681,0)),Q1182)</f>
        <v>6</v>
      </c>
      <c r="R1182" s="81">
        <v>120</v>
      </c>
    </row>
    <row r="1183" spans="1:18" x14ac:dyDescent="0.15">
      <c r="A1183" s="53">
        <v>15305</v>
      </c>
      <c r="B1183" s="53" t="s">
        <v>3090</v>
      </c>
      <c r="C1183" s="53">
        <v>2105</v>
      </c>
      <c r="D1183" s="32">
        <v>6</v>
      </c>
      <c r="E1183" s="15">
        <f>INDEX(monster!$H$2:$H$681,MATCH(skill!C1183,monster!$A$2:$A$681,0))</f>
        <v>75.7</v>
      </c>
      <c r="F1183" s="15">
        <f>INDEX(monster!$I$2:$I$681,MATCH(C1183,monster!$A$2:$A$681,0))</f>
        <v>2.27</v>
      </c>
      <c r="G1183" s="70" t="b">
        <v>1</v>
      </c>
      <c r="H1183" s="31">
        <v>1</v>
      </c>
      <c r="I1183" s="15">
        <f>IF(H1183&gt;0,HLOOKUP(R1183/100,数值规划表!$B$37:$AA$39,3),1)</f>
        <v>1.296</v>
      </c>
      <c r="J1183" s="31" t="s">
        <v>1625</v>
      </c>
      <c r="K1183" s="15">
        <f>INDEX(数值规划表!$B$15:$B$18,MATCH(J1183,攻击范围,0))</f>
        <v>1</v>
      </c>
      <c r="L1183" s="70">
        <v>0.6</v>
      </c>
      <c r="M1183" s="70">
        <v>1</v>
      </c>
      <c r="N1183" s="15">
        <f t="shared" si="64"/>
        <v>59</v>
      </c>
      <c r="O1183" s="15">
        <f t="shared" si="65"/>
        <v>1.77</v>
      </c>
      <c r="P1183" s="15">
        <f>IF(G1183,INDEX(monster!$J$2:$J$681,MATCH(skill!C1183,monster!$A$2:$A$681,0)),Q1183)</f>
        <v>6</v>
      </c>
      <c r="R1183" s="81">
        <v>120</v>
      </c>
    </row>
    <row r="1184" spans="1:18" x14ac:dyDescent="0.15">
      <c r="A1184" s="53">
        <v>15306</v>
      </c>
      <c r="B1184" s="53" t="s">
        <v>3091</v>
      </c>
      <c r="C1184" s="53">
        <v>2106</v>
      </c>
      <c r="D1184" s="32">
        <v>7</v>
      </c>
      <c r="E1184" s="15">
        <f>INDEX(monster!$H$2:$H$681,MATCH(skill!C1184,monster!$A$2:$A$681,0))</f>
        <v>84.78</v>
      </c>
      <c r="F1184" s="15">
        <f>INDEX(monster!$I$2:$I$681,MATCH(C1184,monster!$A$2:$A$681,0))</f>
        <v>2.54</v>
      </c>
      <c r="G1184" s="70" t="b">
        <v>1</v>
      </c>
      <c r="H1184" s="31">
        <v>1</v>
      </c>
      <c r="I1184" s="15">
        <f>IF(H1184&gt;0,HLOOKUP(R1184/100,数值规划表!$B$37:$AA$39,3),1)</f>
        <v>1.296</v>
      </c>
      <c r="J1184" s="31" t="s">
        <v>1625</v>
      </c>
      <c r="K1184" s="15">
        <f>INDEX(数值规划表!$B$15:$B$18,MATCH(J1184,攻击范围,0))</f>
        <v>1</v>
      </c>
      <c r="L1184" s="70">
        <v>0.6</v>
      </c>
      <c r="M1184" s="70">
        <v>1</v>
      </c>
      <c r="N1184" s="15">
        <f t="shared" si="64"/>
        <v>66</v>
      </c>
      <c r="O1184" s="15">
        <f t="shared" si="65"/>
        <v>1.98</v>
      </c>
      <c r="P1184" s="15">
        <f>IF(G1184,INDEX(monster!$J$2:$J$681,MATCH(skill!C1184,monster!$A$2:$A$681,0)),Q1184)</f>
        <v>6</v>
      </c>
      <c r="R1184" s="81">
        <v>120</v>
      </c>
    </row>
    <row r="1185" spans="1:18" x14ac:dyDescent="0.15">
      <c r="A1185" s="53">
        <v>15307</v>
      </c>
      <c r="B1185" s="53" t="s">
        <v>3092</v>
      </c>
      <c r="C1185" s="53">
        <v>2107</v>
      </c>
      <c r="D1185" s="32">
        <v>8</v>
      </c>
      <c r="E1185" s="15">
        <f>INDEX(monster!$H$2:$H$681,MATCH(skill!C1185,monster!$A$2:$A$681,0))</f>
        <v>94.95</v>
      </c>
      <c r="F1185" s="15">
        <f>INDEX(monster!$I$2:$I$681,MATCH(C1185,monster!$A$2:$A$681,0))</f>
        <v>2.85</v>
      </c>
      <c r="G1185" s="70" t="b">
        <v>1</v>
      </c>
      <c r="H1185" s="31">
        <v>1</v>
      </c>
      <c r="I1185" s="15">
        <f>IF(H1185&gt;0,HLOOKUP(R1185/100,数值规划表!$B$37:$AA$39,3),1)</f>
        <v>1.296</v>
      </c>
      <c r="J1185" s="31" t="s">
        <v>1625</v>
      </c>
      <c r="K1185" s="15">
        <f>INDEX(数值规划表!$B$15:$B$18,MATCH(J1185,攻击范围,0))</f>
        <v>1</v>
      </c>
      <c r="L1185" s="70">
        <v>0.6</v>
      </c>
      <c r="M1185" s="70">
        <v>1</v>
      </c>
      <c r="N1185" s="15">
        <f t="shared" si="64"/>
        <v>74</v>
      </c>
      <c r="O1185" s="15">
        <f t="shared" si="65"/>
        <v>2.2200000000000002</v>
      </c>
      <c r="P1185" s="15">
        <f>IF(G1185,INDEX(monster!$J$2:$J$681,MATCH(skill!C1185,monster!$A$2:$A$681,0)),Q1185)</f>
        <v>6</v>
      </c>
      <c r="R1185" s="81">
        <v>120</v>
      </c>
    </row>
    <row r="1186" spans="1:18" x14ac:dyDescent="0.15">
      <c r="A1186" s="53">
        <v>15308</v>
      </c>
      <c r="B1186" s="53" t="s">
        <v>3093</v>
      </c>
      <c r="C1186" s="53">
        <v>2108</v>
      </c>
      <c r="D1186" s="32">
        <v>9</v>
      </c>
      <c r="E1186" s="15">
        <f>INDEX(monster!$H$2:$H$681,MATCH(skill!C1186,monster!$A$2:$A$681,0))</f>
        <v>106.35</v>
      </c>
      <c r="F1186" s="15">
        <f>INDEX(monster!$I$2:$I$681,MATCH(C1186,monster!$A$2:$A$681,0))</f>
        <v>3.19</v>
      </c>
      <c r="G1186" s="70" t="b">
        <v>1</v>
      </c>
      <c r="H1186" s="31">
        <v>1</v>
      </c>
      <c r="I1186" s="15">
        <f>IF(H1186&gt;0,HLOOKUP(R1186/100,数值规划表!$B$37:$AA$39,3),1)</f>
        <v>1.296</v>
      </c>
      <c r="J1186" s="31" t="s">
        <v>1625</v>
      </c>
      <c r="K1186" s="15">
        <f>INDEX(数值规划表!$B$15:$B$18,MATCH(J1186,攻击范围,0))</f>
        <v>1</v>
      </c>
      <c r="L1186" s="70">
        <v>0.6</v>
      </c>
      <c r="M1186" s="70">
        <v>1</v>
      </c>
      <c r="N1186" s="15">
        <f t="shared" si="64"/>
        <v>83</v>
      </c>
      <c r="O1186" s="15">
        <f t="shared" si="65"/>
        <v>2.48</v>
      </c>
      <c r="P1186" s="15">
        <f>IF(G1186,INDEX(monster!$J$2:$J$681,MATCH(skill!C1186,monster!$A$2:$A$681,0)),Q1186)</f>
        <v>6</v>
      </c>
      <c r="R1186" s="81">
        <v>120</v>
      </c>
    </row>
    <row r="1187" spans="1:18" x14ac:dyDescent="0.15">
      <c r="A1187" s="53">
        <v>15309</v>
      </c>
      <c r="B1187" s="53" t="s">
        <v>3094</v>
      </c>
      <c r="C1187" s="53">
        <v>2109</v>
      </c>
      <c r="D1187" s="32">
        <v>10</v>
      </c>
      <c r="E1187" s="15">
        <f>INDEX(monster!$H$2:$H$681,MATCH(skill!C1187,monster!$A$2:$A$681,0))</f>
        <v>119.11</v>
      </c>
      <c r="F1187" s="15">
        <f>INDEX(monster!$I$2:$I$681,MATCH(C1187,monster!$A$2:$A$681,0))</f>
        <v>3.57</v>
      </c>
      <c r="G1187" s="70" t="b">
        <v>1</v>
      </c>
      <c r="H1187" s="31">
        <v>1</v>
      </c>
      <c r="I1187" s="15">
        <f>IF(H1187&gt;0,HLOOKUP(R1187/100,数值规划表!$B$37:$AA$39,3),1)</f>
        <v>1.296</v>
      </c>
      <c r="J1187" s="31" t="s">
        <v>1625</v>
      </c>
      <c r="K1187" s="15">
        <f>INDEX(数值规划表!$B$15:$B$18,MATCH(J1187,攻击范围,0))</f>
        <v>1</v>
      </c>
      <c r="L1187" s="70">
        <v>0.6</v>
      </c>
      <c r="M1187" s="70">
        <v>1</v>
      </c>
      <c r="N1187" s="15">
        <f t="shared" si="64"/>
        <v>93</v>
      </c>
      <c r="O1187" s="15">
        <f t="shared" si="65"/>
        <v>2.78</v>
      </c>
      <c r="P1187" s="15">
        <f>IF(G1187,INDEX(monster!$J$2:$J$681,MATCH(skill!C1187,monster!$A$2:$A$681,0)),Q1187)</f>
        <v>6</v>
      </c>
      <c r="R1187" s="81">
        <v>120</v>
      </c>
    </row>
    <row r="1188" spans="1:18" x14ac:dyDescent="0.15">
      <c r="A1188" s="53">
        <v>15310</v>
      </c>
      <c r="B1188" s="53" t="s">
        <v>3095</v>
      </c>
      <c r="C1188" s="53">
        <v>2099</v>
      </c>
      <c r="D1188" s="32">
        <v>0</v>
      </c>
      <c r="E1188" s="15">
        <f>INDEX(monster!$H$2:$H$681,MATCH(skill!C1188,monster!$A$2:$A$681,0))</f>
        <v>38.35</v>
      </c>
      <c r="F1188" s="15">
        <f>INDEX(monster!$I$2:$I$681,MATCH(C1188,monster!$A$2:$A$681,0))</f>
        <v>1.1499999999999999</v>
      </c>
      <c r="G1188" s="70" t="b">
        <v>1</v>
      </c>
      <c r="H1188" s="31">
        <v>0</v>
      </c>
      <c r="I1188" s="15">
        <f>IF(H1188&gt;0,HLOOKUP(R1188/100,数值规划表!$B$37:$AA$39,3),1)</f>
        <v>1</v>
      </c>
      <c r="J1188" s="31" t="s">
        <v>1625</v>
      </c>
      <c r="K1188" s="15">
        <f>INDEX(数值规划表!$B$15:$B$18,MATCH(J1188,攻击范围,0))</f>
        <v>1</v>
      </c>
      <c r="L1188" s="70">
        <f>4.5/M1188</f>
        <v>0.5</v>
      </c>
      <c r="M1188" s="70">
        <v>9</v>
      </c>
      <c r="N1188" s="15">
        <f t="shared" si="64"/>
        <v>19</v>
      </c>
      <c r="O1188" s="15">
        <f t="shared" si="65"/>
        <v>0.57999999999999996</v>
      </c>
      <c r="P1188" s="15">
        <f>IF(G1188,INDEX(monster!$J$2:$J$681,MATCH(skill!C1188,monster!$A$2:$A$681,0)),Q1188)</f>
        <v>6</v>
      </c>
      <c r="R1188" s="81">
        <v>400</v>
      </c>
    </row>
    <row r="1189" spans="1:18" x14ac:dyDescent="0.15">
      <c r="A1189" s="53">
        <v>15311</v>
      </c>
      <c r="B1189" s="53" t="s">
        <v>3096</v>
      </c>
      <c r="C1189" s="53">
        <v>2100</v>
      </c>
      <c r="D1189" s="32">
        <v>1</v>
      </c>
      <c r="E1189" s="15">
        <f>INDEX(monster!$H$2:$H$681,MATCH(skill!C1189,monster!$A$2:$A$681,0))</f>
        <v>42.95</v>
      </c>
      <c r="F1189" s="15">
        <f>INDEX(monster!$I$2:$I$681,MATCH(C1189,monster!$A$2:$A$681,0))</f>
        <v>1.29</v>
      </c>
      <c r="G1189" s="70" t="b">
        <v>1</v>
      </c>
      <c r="H1189" s="31">
        <v>0</v>
      </c>
      <c r="I1189" s="15">
        <f>IF(H1189&gt;0,HLOOKUP(R1189/100,数值规划表!$B$37:$AA$39,3),1)</f>
        <v>1</v>
      </c>
      <c r="J1189" s="31" t="s">
        <v>1625</v>
      </c>
      <c r="K1189" s="15">
        <f>INDEX(数值规划表!$B$15:$B$18,MATCH(J1189,攻击范围,0))</f>
        <v>1</v>
      </c>
      <c r="L1189" s="70">
        <f t="shared" ref="L1189:L1198" si="66">4.5/M1189</f>
        <v>0.5</v>
      </c>
      <c r="M1189" s="70">
        <v>9</v>
      </c>
      <c r="N1189" s="15">
        <f t="shared" si="64"/>
        <v>21</v>
      </c>
      <c r="O1189" s="15">
        <f t="shared" si="65"/>
        <v>0.65</v>
      </c>
      <c r="P1189" s="15">
        <f>IF(G1189,INDEX(monster!$J$2:$J$681,MATCH(skill!C1189,monster!$A$2:$A$681,0)),Q1189)</f>
        <v>6</v>
      </c>
      <c r="R1189" s="81">
        <v>400</v>
      </c>
    </row>
    <row r="1190" spans="1:18" x14ac:dyDescent="0.15">
      <c r="A1190" s="53">
        <v>15312</v>
      </c>
      <c r="B1190" s="53" t="s">
        <v>3097</v>
      </c>
      <c r="C1190" s="53">
        <v>2101</v>
      </c>
      <c r="D1190" s="32">
        <v>2</v>
      </c>
      <c r="E1190" s="15">
        <f>INDEX(monster!$H$2:$H$681,MATCH(skill!C1190,monster!$A$2:$A$681,0))</f>
        <v>48.11</v>
      </c>
      <c r="F1190" s="15">
        <f>INDEX(monster!$I$2:$I$681,MATCH(C1190,monster!$A$2:$A$681,0))</f>
        <v>1.44</v>
      </c>
      <c r="G1190" s="70" t="b">
        <v>1</v>
      </c>
      <c r="H1190" s="31">
        <v>0</v>
      </c>
      <c r="I1190" s="15">
        <f>IF(H1190&gt;0,HLOOKUP(R1190/100,数值规划表!$B$37:$AA$39,3),1)</f>
        <v>1</v>
      </c>
      <c r="J1190" s="31" t="s">
        <v>1625</v>
      </c>
      <c r="K1190" s="15">
        <f>INDEX(数值规划表!$B$15:$B$18,MATCH(J1190,攻击范围,0))</f>
        <v>1</v>
      </c>
      <c r="L1190" s="70">
        <f t="shared" si="66"/>
        <v>0.5</v>
      </c>
      <c r="M1190" s="70">
        <v>9</v>
      </c>
      <c r="N1190" s="15">
        <f t="shared" si="64"/>
        <v>24</v>
      </c>
      <c r="O1190" s="15">
        <f t="shared" si="65"/>
        <v>0.72</v>
      </c>
      <c r="P1190" s="15">
        <f>IF(G1190,INDEX(monster!$J$2:$J$681,MATCH(skill!C1190,monster!$A$2:$A$681,0)),Q1190)</f>
        <v>6</v>
      </c>
      <c r="R1190" s="81">
        <v>400</v>
      </c>
    </row>
    <row r="1191" spans="1:18" x14ac:dyDescent="0.15">
      <c r="A1191" s="53">
        <v>15313</v>
      </c>
      <c r="B1191" s="53" t="s">
        <v>3098</v>
      </c>
      <c r="C1191" s="53">
        <v>2102</v>
      </c>
      <c r="D1191" s="32">
        <v>3</v>
      </c>
      <c r="E1191" s="15">
        <f>INDEX(monster!$H$2:$H$681,MATCH(skill!C1191,monster!$A$2:$A$681,0))</f>
        <v>53.88</v>
      </c>
      <c r="F1191" s="15">
        <f>INDEX(monster!$I$2:$I$681,MATCH(C1191,monster!$A$2:$A$681,0))</f>
        <v>1.62</v>
      </c>
      <c r="G1191" s="70" t="b">
        <v>1</v>
      </c>
      <c r="H1191" s="31">
        <v>0</v>
      </c>
      <c r="I1191" s="15">
        <f>IF(H1191&gt;0,HLOOKUP(R1191/100,数值规划表!$B$37:$AA$39,3),1)</f>
        <v>1</v>
      </c>
      <c r="J1191" s="31" t="s">
        <v>1625</v>
      </c>
      <c r="K1191" s="15">
        <f>INDEX(数值规划表!$B$15:$B$18,MATCH(J1191,攻击范围,0))</f>
        <v>1</v>
      </c>
      <c r="L1191" s="70">
        <f t="shared" si="66"/>
        <v>0.5</v>
      </c>
      <c r="M1191" s="70">
        <v>9</v>
      </c>
      <c r="N1191" s="15">
        <f t="shared" si="64"/>
        <v>27</v>
      </c>
      <c r="O1191" s="15">
        <f t="shared" si="65"/>
        <v>0.81</v>
      </c>
      <c r="P1191" s="15">
        <f>IF(G1191,INDEX(monster!$J$2:$J$681,MATCH(skill!C1191,monster!$A$2:$A$681,0)),Q1191)</f>
        <v>6</v>
      </c>
      <c r="R1191" s="81">
        <v>400</v>
      </c>
    </row>
    <row r="1192" spans="1:18" x14ac:dyDescent="0.15">
      <c r="A1192" s="53">
        <v>15314</v>
      </c>
      <c r="B1192" s="73" t="s">
        <v>2942</v>
      </c>
      <c r="C1192" s="53">
        <v>2103</v>
      </c>
      <c r="D1192" s="32">
        <v>4</v>
      </c>
      <c r="E1192" s="15">
        <f>INDEX(monster!$H$2:$H$681,MATCH(skill!C1192,monster!$A$2:$A$681,0))</f>
        <v>60.34</v>
      </c>
      <c r="F1192" s="15">
        <f>INDEX(monster!$I$2:$I$681,MATCH(C1192,monster!$A$2:$A$681,0))</f>
        <v>1.81</v>
      </c>
      <c r="G1192" s="70" t="b">
        <v>1</v>
      </c>
      <c r="H1192" s="31">
        <v>0</v>
      </c>
      <c r="I1192" s="15">
        <f>IF(H1192&gt;0,HLOOKUP(R1192/100,数值规划表!$B$37:$AA$39,3),1)</f>
        <v>1</v>
      </c>
      <c r="J1192" s="31" t="s">
        <v>1625</v>
      </c>
      <c r="K1192" s="15">
        <f>INDEX(数值规划表!$B$15:$B$18,MATCH(J1192,攻击范围,0))</f>
        <v>1</v>
      </c>
      <c r="L1192" s="70">
        <f t="shared" si="66"/>
        <v>0.5</v>
      </c>
      <c r="M1192" s="70">
        <v>9</v>
      </c>
      <c r="N1192" s="15">
        <f t="shared" si="64"/>
        <v>30</v>
      </c>
      <c r="O1192" s="15">
        <f t="shared" si="65"/>
        <v>0.91</v>
      </c>
      <c r="P1192" s="15">
        <f>IF(G1192,INDEX(monster!$J$2:$J$681,MATCH(skill!C1192,monster!$A$2:$A$681,0)),Q1192)</f>
        <v>6</v>
      </c>
      <c r="R1192" s="81">
        <v>400</v>
      </c>
    </row>
    <row r="1193" spans="1:18" x14ac:dyDescent="0.15">
      <c r="A1193" s="53">
        <v>15315</v>
      </c>
      <c r="B1193" s="73" t="s">
        <v>2943</v>
      </c>
      <c r="C1193" s="53">
        <v>2104</v>
      </c>
      <c r="D1193" s="32">
        <v>5</v>
      </c>
      <c r="E1193" s="15">
        <f>INDEX(monster!$H$2:$H$681,MATCH(skill!C1193,monster!$A$2:$A$681,0))</f>
        <v>67.59</v>
      </c>
      <c r="F1193" s="15">
        <f>INDEX(monster!$I$2:$I$681,MATCH(C1193,monster!$A$2:$A$681,0))</f>
        <v>2.0299999999999998</v>
      </c>
      <c r="G1193" s="70" t="b">
        <v>1</v>
      </c>
      <c r="H1193" s="31">
        <v>0</v>
      </c>
      <c r="I1193" s="15">
        <f>IF(H1193&gt;0,HLOOKUP(R1193/100,数值规划表!$B$37:$AA$39,3),1)</f>
        <v>1</v>
      </c>
      <c r="J1193" s="31" t="s">
        <v>1625</v>
      </c>
      <c r="K1193" s="15">
        <f>INDEX(数值规划表!$B$15:$B$18,MATCH(J1193,攻击范围,0))</f>
        <v>1</v>
      </c>
      <c r="L1193" s="70">
        <f t="shared" si="66"/>
        <v>0.5</v>
      </c>
      <c r="M1193" s="70">
        <v>9</v>
      </c>
      <c r="N1193" s="15">
        <f t="shared" si="64"/>
        <v>34</v>
      </c>
      <c r="O1193" s="15">
        <f t="shared" si="65"/>
        <v>1.02</v>
      </c>
      <c r="P1193" s="15">
        <f>IF(G1193,INDEX(monster!$J$2:$J$681,MATCH(skill!C1193,monster!$A$2:$A$681,0)),Q1193)</f>
        <v>6</v>
      </c>
      <c r="R1193" s="81">
        <v>400</v>
      </c>
    </row>
    <row r="1194" spans="1:18" x14ac:dyDescent="0.15">
      <c r="A1194" s="53">
        <v>15316</v>
      </c>
      <c r="B1194" s="73" t="s">
        <v>2944</v>
      </c>
      <c r="C1194" s="53">
        <v>2105</v>
      </c>
      <c r="D1194" s="32">
        <v>6</v>
      </c>
      <c r="E1194" s="15">
        <f>INDEX(monster!$H$2:$H$681,MATCH(skill!C1194,monster!$A$2:$A$681,0))</f>
        <v>75.7</v>
      </c>
      <c r="F1194" s="15">
        <f>INDEX(monster!$I$2:$I$681,MATCH(C1194,monster!$A$2:$A$681,0))</f>
        <v>2.27</v>
      </c>
      <c r="G1194" s="70" t="b">
        <v>1</v>
      </c>
      <c r="H1194" s="31">
        <v>0</v>
      </c>
      <c r="I1194" s="15">
        <f>IF(H1194&gt;0,HLOOKUP(R1194/100,数值规划表!$B$37:$AA$39,3),1)</f>
        <v>1</v>
      </c>
      <c r="J1194" s="31" t="s">
        <v>1625</v>
      </c>
      <c r="K1194" s="15">
        <f>INDEX(数值规划表!$B$15:$B$18,MATCH(J1194,攻击范围,0))</f>
        <v>1</v>
      </c>
      <c r="L1194" s="70">
        <f t="shared" si="66"/>
        <v>0.5</v>
      </c>
      <c r="M1194" s="70">
        <v>9</v>
      </c>
      <c r="N1194" s="15">
        <f t="shared" si="64"/>
        <v>38</v>
      </c>
      <c r="O1194" s="15">
        <f t="shared" si="65"/>
        <v>1.1399999999999999</v>
      </c>
      <c r="P1194" s="15">
        <f>IF(G1194,INDEX(monster!$J$2:$J$681,MATCH(skill!C1194,monster!$A$2:$A$681,0)),Q1194)</f>
        <v>6</v>
      </c>
      <c r="R1194" s="81">
        <v>400</v>
      </c>
    </row>
    <row r="1195" spans="1:18" x14ac:dyDescent="0.15">
      <c r="A1195" s="53">
        <v>15317</v>
      </c>
      <c r="B1195" s="73" t="s">
        <v>2945</v>
      </c>
      <c r="C1195" s="53">
        <v>2106</v>
      </c>
      <c r="D1195" s="32">
        <v>7</v>
      </c>
      <c r="E1195" s="15">
        <f>INDEX(monster!$H$2:$H$681,MATCH(skill!C1195,monster!$A$2:$A$681,0))</f>
        <v>84.78</v>
      </c>
      <c r="F1195" s="15">
        <f>INDEX(monster!$I$2:$I$681,MATCH(C1195,monster!$A$2:$A$681,0))</f>
        <v>2.54</v>
      </c>
      <c r="G1195" s="70" t="b">
        <v>1</v>
      </c>
      <c r="H1195" s="31">
        <v>0</v>
      </c>
      <c r="I1195" s="15">
        <f>IF(H1195&gt;0,HLOOKUP(R1195/100,数值规划表!$B$37:$AA$39,3),1)</f>
        <v>1</v>
      </c>
      <c r="J1195" s="31" t="s">
        <v>1625</v>
      </c>
      <c r="K1195" s="15">
        <f>INDEX(数值规划表!$B$15:$B$18,MATCH(J1195,攻击范围,0))</f>
        <v>1</v>
      </c>
      <c r="L1195" s="70">
        <f t="shared" si="66"/>
        <v>0.5</v>
      </c>
      <c r="M1195" s="70">
        <v>9</v>
      </c>
      <c r="N1195" s="15">
        <f t="shared" si="64"/>
        <v>42</v>
      </c>
      <c r="O1195" s="15">
        <f t="shared" si="65"/>
        <v>1.27</v>
      </c>
      <c r="P1195" s="15">
        <f>IF(G1195,INDEX(monster!$J$2:$J$681,MATCH(skill!C1195,monster!$A$2:$A$681,0)),Q1195)</f>
        <v>6</v>
      </c>
      <c r="R1195" s="81">
        <v>400</v>
      </c>
    </row>
    <row r="1196" spans="1:18" x14ac:dyDescent="0.15">
      <c r="A1196" s="53">
        <v>15318</v>
      </c>
      <c r="B1196" s="73" t="s">
        <v>2946</v>
      </c>
      <c r="C1196" s="53">
        <v>2107</v>
      </c>
      <c r="D1196" s="32">
        <v>8</v>
      </c>
      <c r="E1196" s="15">
        <f>INDEX(monster!$H$2:$H$681,MATCH(skill!C1196,monster!$A$2:$A$681,0))</f>
        <v>94.95</v>
      </c>
      <c r="F1196" s="15">
        <f>INDEX(monster!$I$2:$I$681,MATCH(C1196,monster!$A$2:$A$681,0))</f>
        <v>2.85</v>
      </c>
      <c r="G1196" s="70" t="b">
        <v>1</v>
      </c>
      <c r="H1196" s="31">
        <v>0</v>
      </c>
      <c r="I1196" s="15">
        <f>IF(H1196&gt;0,HLOOKUP(R1196/100,数值规划表!$B$37:$AA$39,3),1)</f>
        <v>1</v>
      </c>
      <c r="J1196" s="31" t="s">
        <v>1625</v>
      </c>
      <c r="K1196" s="15">
        <f>INDEX(数值规划表!$B$15:$B$18,MATCH(J1196,攻击范围,0))</f>
        <v>1</v>
      </c>
      <c r="L1196" s="70">
        <f t="shared" si="66"/>
        <v>0.5</v>
      </c>
      <c r="M1196" s="70">
        <v>9</v>
      </c>
      <c r="N1196" s="15">
        <f t="shared" si="64"/>
        <v>47</v>
      </c>
      <c r="O1196" s="15">
        <f t="shared" si="65"/>
        <v>1.43</v>
      </c>
      <c r="P1196" s="15">
        <f>IF(G1196,INDEX(monster!$J$2:$J$681,MATCH(skill!C1196,monster!$A$2:$A$681,0)),Q1196)</f>
        <v>6</v>
      </c>
      <c r="R1196" s="81">
        <v>400</v>
      </c>
    </row>
    <row r="1197" spans="1:18" x14ac:dyDescent="0.15">
      <c r="A1197" s="53">
        <v>15319</v>
      </c>
      <c r="B1197" s="73" t="s">
        <v>2947</v>
      </c>
      <c r="C1197" s="53">
        <v>2108</v>
      </c>
      <c r="D1197" s="32">
        <v>9</v>
      </c>
      <c r="E1197" s="15">
        <f>INDEX(monster!$H$2:$H$681,MATCH(skill!C1197,monster!$A$2:$A$681,0))</f>
        <v>106.35</v>
      </c>
      <c r="F1197" s="15">
        <f>INDEX(monster!$I$2:$I$681,MATCH(C1197,monster!$A$2:$A$681,0))</f>
        <v>3.19</v>
      </c>
      <c r="G1197" s="70" t="b">
        <v>1</v>
      </c>
      <c r="H1197" s="31">
        <v>0</v>
      </c>
      <c r="I1197" s="15">
        <f>IF(H1197&gt;0,HLOOKUP(R1197/100,数值规划表!$B$37:$AA$39,3),1)</f>
        <v>1</v>
      </c>
      <c r="J1197" s="31" t="s">
        <v>1625</v>
      </c>
      <c r="K1197" s="15">
        <f>INDEX(数值规划表!$B$15:$B$18,MATCH(J1197,攻击范围,0))</f>
        <v>1</v>
      </c>
      <c r="L1197" s="70">
        <f t="shared" si="66"/>
        <v>0.5</v>
      </c>
      <c r="M1197" s="70">
        <v>9</v>
      </c>
      <c r="N1197" s="15">
        <f t="shared" si="64"/>
        <v>53</v>
      </c>
      <c r="O1197" s="15">
        <f t="shared" si="65"/>
        <v>1.6</v>
      </c>
      <c r="P1197" s="15">
        <f>IF(G1197,INDEX(monster!$J$2:$J$681,MATCH(skill!C1197,monster!$A$2:$A$681,0)),Q1197)</f>
        <v>6</v>
      </c>
      <c r="R1197" s="81">
        <v>400</v>
      </c>
    </row>
    <row r="1198" spans="1:18" x14ac:dyDescent="0.15">
      <c r="A1198" s="53">
        <v>15320</v>
      </c>
      <c r="B1198" s="73" t="s">
        <v>2948</v>
      </c>
      <c r="C1198" s="53">
        <v>2109</v>
      </c>
      <c r="D1198" s="32">
        <v>10</v>
      </c>
      <c r="E1198" s="15">
        <f>INDEX(monster!$H$2:$H$681,MATCH(skill!C1198,monster!$A$2:$A$681,0))</f>
        <v>119.11</v>
      </c>
      <c r="F1198" s="15">
        <f>INDEX(monster!$I$2:$I$681,MATCH(C1198,monster!$A$2:$A$681,0))</f>
        <v>3.57</v>
      </c>
      <c r="G1198" s="70" t="b">
        <v>1</v>
      </c>
      <c r="H1198" s="31">
        <v>0</v>
      </c>
      <c r="I1198" s="15">
        <f>IF(H1198&gt;0,HLOOKUP(R1198/100,数值规划表!$B$37:$AA$39,3),1)</f>
        <v>1</v>
      </c>
      <c r="J1198" s="31" t="s">
        <v>1625</v>
      </c>
      <c r="K1198" s="15">
        <f>INDEX(数值规划表!$B$15:$B$18,MATCH(J1198,攻击范围,0))</f>
        <v>1</v>
      </c>
      <c r="L1198" s="70">
        <f t="shared" si="66"/>
        <v>0.5</v>
      </c>
      <c r="M1198" s="70">
        <v>9</v>
      </c>
      <c r="N1198" s="15">
        <f t="shared" si="64"/>
        <v>60</v>
      </c>
      <c r="O1198" s="15">
        <f t="shared" si="65"/>
        <v>1.79</v>
      </c>
      <c r="P1198" s="15">
        <f>IF(G1198,INDEX(monster!$J$2:$J$681,MATCH(skill!C1198,monster!$A$2:$A$681,0)),Q1198)</f>
        <v>6</v>
      </c>
      <c r="R1198" s="81">
        <v>400</v>
      </c>
    </row>
    <row r="1199" spans="1:18" x14ac:dyDescent="0.15">
      <c r="A1199" s="53">
        <v>15321</v>
      </c>
      <c r="B1199" s="73" t="s">
        <v>2949</v>
      </c>
      <c r="C1199" s="53">
        <v>2110</v>
      </c>
      <c r="D1199" s="32">
        <v>0</v>
      </c>
      <c r="E1199" s="15">
        <f>INDEX(monster!$H$2:$H$681,MATCH(skill!C1199,monster!$A$2:$A$681,0))</f>
        <v>36.24</v>
      </c>
      <c r="F1199" s="15">
        <f>INDEX(monster!$I$2:$I$681,MATCH(C1199,monster!$A$2:$A$681,0))</f>
        <v>1.0900000000000001</v>
      </c>
      <c r="G1199" s="70" t="b">
        <v>1</v>
      </c>
      <c r="H1199" s="31">
        <v>1</v>
      </c>
      <c r="I1199" s="15">
        <f>IF(H1199&gt;0,HLOOKUP(R1199/100,数值规划表!$B$37:$AA$39,3),1)</f>
        <v>0.86399999999999999</v>
      </c>
      <c r="J1199" s="31" t="s">
        <v>1625</v>
      </c>
      <c r="K1199" s="15">
        <f>INDEX(数值规划表!$B$15:$B$18,MATCH(J1199,攻击范围,0))</f>
        <v>1</v>
      </c>
      <c r="L1199" s="70">
        <v>1</v>
      </c>
      <c r="M1199" s="70">
        <v>8</v>
      </c>
      <c r="N1199" s="15">
        <f t="shared" si="64"/>
        <v>31</v>
      </c>
      <c r="O1199" s="15">
        <f t="shared" si="65"/>
        <v>0.94</v>
      </c>
      <c r="P1199" s="15">
        <f>IF(G1199,INDEX(monster!$J$2:$J$681,MATCH(skill!C1199,monster!$A$2:$A$681,0)),Q1199)</f>
        <v>1.2</v>
      </c>
      <c r="R1199" s="81">
        <v>90</v>
      </c>
    </row>
    <row r="1200" spans="1:18" x14ac:dyDescent="0.15">
      <c r="A1200" s="53">
        <v>15322</v>
      </c>
      <c r="B1200" s="73" t="s">
        <v>2950</v>
      </c>
      <c r="C1200" s="53">
        <v>2111</v>
      </c>
      <c r="D1200" s="32">
        <v>1</v>
      </c>
      <c r="E1200" s="15">
        <f>INDEX(monster!$H$2:$H$681,MATCH(skill!C1200,monster!$A$2:$A$681,0))</f>
        <v>40.590000000000003</v>
      </c>
      <c r="F1200" s="15">
        <f>INDEX(monster!$I$2:$I$681,MATCH(C1200,monster!$A$2:$A$681,0))</f>
        <v>1.22</v>
      </c>
      <c r="G1200" s="70" t="b">
        <v>1</v>
      </c>
      <c r="H1200" s="31">
        <v>1</v>
      </c>
      <c r="I1200" s="15">
        <f>IF(H1200&gt;0,HLOOKUP(R1200/100,数值规划表!$B$37:$AA$39,3),1)</f>
        <v>0.86399999999999999</v>
      </c>
      <c r="J1200" s="31" t="s">
        <v>1625</v>
      </c>
      <c r="K1200" s="15">
        <f>INDEX(数值规划表!$B$15:$B$18,MATCH(J1200,攻击范围,0))</f>
        <v>1</v>
      </c>
      <c r="L1200" s="70">
        <v>1</v>
      </c>
      <c r="M1200" s="70">
        <v>1</v>
      </c>
      <c r="N1200" s="15">
        <f t="shared" si="64"/>
        <v>35</v>
      </c>
      <c r="O1200" s="15">
        <f t="shared" si="65"/>
        <v>1.05</v>
      </c>
      <c r="P1200" s="15">
        <f>IF(G1200,INDEX(monster!$J$2:$J$681,MATCH(skill!C1200,monster!$A$2:$A$681,0)),Q1200)</f>
        <v>1.2</v>
      </c>
      <c r="R1200" s="81">
        <v>90</v>
      </c>
    </row>
    <row r="1201" spans="1:18" x14ac:dyDescent="0.15">
      <c r="A1201" s="53">
        <v>15323</v>
      </c>
      <c r="B1201" s="73" t="s">
        <v>2951</v>
      </c>
      <c r="C1201" s="53">
        <v>2112</v>
      </c>
      <c r="D1201" s="32">
        <v>2</v>
      </c>
      <c r="E1201" s="15">
        <f>INDEX(monster!$H$2:$H$681,MATCH(skill!C1201,monster!$A$2:$A$681,0))</f>
        <v>45.46</v>
      </c>
      <c r="F1201" s="15">
        <f>INDEX(monster!$I$2:$I$681,MATCH(C1201,monster!$A$2:$A$681,0))</f>
        <v>1.36</v>
      </c>
      <c r="G1201" s="70" t="b">
        <v>1</v>
      </c>
      <c r="H1201" s="31">
        <v>1</v>
      </c>
      <c r="I1201" s="15">
        <f>IF(H1201&gt;0,HLOOKUP(R1201/100,数值规划表!$B$37:$AA$39,3),1)</f>
        <v>0.86399999999999999</v>
      </c>
      <c r="J1201" s="31" t="s">
        <v>1625</v>
      </c>
      <c r="K1201" s="15">
        <f>INDEX(数值规划表!$B$15:$B$18,MATCH(J1201,攻击范围,0))</f>
        <v>1</v>
      </c>
      <c r="L1201" s="70">
        <v>1</v>
      </c>
      <c r="M1201" s="70">
        <v>1</v>
      </c>
      <c r="N1201" s="15">
        <f t="shared" si="64"/>
        <v>39</v>
      </c>
      <c r="O1201" s="15">
        <f t="shared" si="65"/>
        <v>1.18</v>
      </c>
      <c r="P1201" s="15">
        <f>IF(G1201,INDEX(monster!$J$2:$J$681,MATCH(skill!C1201,monster!$A$2:$A$681,0)),Q1201)</f>
        <v>1.2</v>
      </c>
      <c r="R1201" s="81">
        <v>90</v>
      </c>
    </row>
    <row r="1202" spans="1:18" x14ac:dyDescent="0.15">
      <c r="A1202" s="53">
        <v>15324</v>
      </c>
      <c r="B1202" s="73" t="s">
        <v>2952</v>
      </c>
      <c r="C1202" s="53">
        <v>2113</v>
      </c>
      <c r="D1202" s="32">
        <v>3</v>
      </c>
      <c r="E1202" s="15">
        <f>INDEX(monster!$H$2:$H$681,MATCH(skill!C1202,monster!$A$2:$A$681,0))</f>
        <v>50.91</v>
      </c>
      <c r="F1202" s="15">
        <f>INDEX(monster!$I$2:$I$681,MATCH(C1202,monster!$A$2:$A$681,0))</f>
        <v>1.53</v>
      </c>
      <c r="G1202" s="70" t="b">
        <v>1</v>
      </c>
      <c r="H1202" s="31">
        <v>1</v>
      </c>
      <c r="I1202" s="15">
        <f>IF(H1202&gt;0,HLOOKUP(R1202/100,数值规划表!$B$37:$AA$39,3),1)</f>
        <v>0.86399999999999999</v>
      </c>
      <c r="J1202" s="31" t="s">
        <v>1625</v>
      </c>
      <c r="K1202" s="15">
        <f>INDEX(数值规划表!$B$15:$B$18,MATCH(J1202,攻击范围,0))</f>
        <v>1</v>
      </c>
      <c r="L1202" s="70">
        <v>1</v>
      </c>
      <c r="M1202" s="70">
        <v>1</v>
      </c>
      <c r="N1202" s="15">
        <f t="shared" si="64"/>
        <v>44</v>
      </c>
      <c r="O1202" s="15">
        <f t="shared" si="65"/>
        <v>1.32</v>
      </c>
      <c r="P1202" s="15">
        <f>IF(G1202,INDEX(monster!$J$2:$J$681,MATCH(skill!C1202,monster!$A$2:$A$681,0)),Q1202)</f>
        <v>1.2</v>
      </c>
      <c r="R1202" s="81">
        <v>90</v>
      </c>
    </row>
    <row r="1203" spans="1:18" x14ac:dyDescent="0.15">
      <c r="A1203" s="53">
        <v>15325</v>
      </c>
      <c r="B1203" s="73" t="s">
        <v>2953</v>
      </c>
      <c r="C1203" s="53">
        <v>2114</v>
      </c>
      <c r="D1203" s="32">
        <v>4</v>
      </c>
      <c r="E1203" s="15">
        <f>INDEX(monster!$H$2:$H$681,MATCH(skill!C1203,monster!$A$2:$A$681,0))</f>
        <v>57.02</v>
      </c>
      <c r="F1203" s="15">
        <f>INDEX(monster!$I$2:$I$681,MATCH(C1203,monster!$A$2:$A$681,0))</f>
        <v>1.71</v>
      </c>
      <c r="G1203" s="70" t="b">
        <v>1</v>
      </c>
      <c r="H1203" s="31">
        <v>1</v>
      </c>
      <c r="I1203" s="15">
        <f>IF(H1203&gt;0,HLOOKUP(R1203/100,数值规划表!$B$37:$AA$39,3),1)</f>
        <v>0.86399999999999999</v>
      </c>
      <c r="J1203" s="31" t="s">
        <v>1625</v>
      </c>
      <c r="K1203" s="15">
        <f>INDEX(数值规划表!$B$15:$B$18,MATCH(J1203,攻击范围,0))</f>
        <v>1</v>
      </c>
      <c r="L1203" s="70">
        <v>1</v>
      </c>
      <c r="M1203" s="70">
        <v>1</v>
      </c>
      <c r="N1203" s="15">
        <f t="shared" si="64"/>
        <v>49</v>
      </c>
      <c r="O1203" s="15">
        <f t="shared" si="65"/>
        <v>1.48</v>
      </c>
      <c r="P1203" s="15">
        <f>IF(G1203,INDEX(monster!$J$2:$J$681,MATCH(skill!C1203,monster!$A$2:$A$681,0)),Q1203)</f>
        <v>1.2</v>
      </c>
      <c r="R1203" s="81">
        <v>90</v>
      </c>
    </row>
    <row r="1204" spans="1:18" x14ac:dyDescent="0.15">
      <c r="A1204" s="53">
        <v>15326</v>
      </c>
      <c r="B1204" s="73" t="s">
        <v>2954</v>
      </c>
      <c r="C1204" s="53">
        <v>2115</v>
      </c>
      <c r="D1204" s="32">
        <v>5</v>
      </c>
      <c r="E1204" s="15">
        <f>INDEX(monster!$H$2:$H$681,MATCH(skill!C1204,monster!$A$2:$A$681,0))</f>
        <v>63.87</v>
      </c>
      <c r="F1204" s="15">
        <f>INDEX(monster!$I$2:$I$681,MATCH(C1204,monster!$A$2:$A$681,0))</f>
        <v>1.92</v>
      </c>
      <c r="G1204" s="70" t="b">
        <v>1</v>
      </c>
      <c r="H1204" s="31">
        <v>1</v>
      </c>
      <c r="I1204" s="15">
        <f>IF(H1204&gt;0,HLOOKUP(R1204/100,数值规划表!$B$37:$AA$39,3),1)</f>
        <v>0.86399999999999999</v>
      </c>
      <c r="J1204" s="31" t="s">
        <v>1625</v>
      </c>
      <c r="K1204" s="15">
        <f>INDEX(数值规划表!$B$15:$B$18,MATCH(J1204,攻击范围,0))</f>
        <v>1</v>
      </c>
      <c r="L1204" s="70">
        <v>1</v>
      </c>
      <c r="M1204" s="70">
        <v>1</v>
      </c>
      <c r="N1204" s="15">
        <f t="shared" si="64"/>
        <v>55</v>
      </c>
      <c r="O1204" s="15">
        <f t="shared" si="65"/>
        <v>1.66</v>
      </c>
      <c r="P1204" s="15">
        <f>IF(G1204,INDEX(monster!$J$2:$J$681,MATCH(skill!C1204,monster!$A$2:$A$681,0)),Q1204)</f>
        <v>1.2</v>
      </c>
      <c r="R1204" s="81">
        <v>90</v>
      </c>
    </row>
    <row r="1205" spans="1:18" x14ac:dyDescent="0.15">
      <c r="A1205" s="53">
        <v>15327</v>
      </c>
      <c r="B1205" s="73" t="s">
        <v>2955</v>
      </c>
      <c r="C1205" s="53">
        <v>2116</v>
      </c>
      <c r="D1205" s="32">
        <v>6</v>
      </c>
      <c r="E1205" s="15">
        <f>INDEX(monster!$H$2:$H$681,MATCH(skill!C1205,monster!$A$2:$A$681,0))</f>
        <v>71.53</v>
      </c>
      <c r="F1205" s="15">
        <f>INDEX(monster!$I$2:$I$681,MATCH(C1205,monster!$A$2:$A$681,0))</f>
        <v>2.15</v>
      </c>
      <c r="G1205" s="70" t="b">
        <v>1</v>
      </c>
      <c r="H1205" s="31">
        <v>1</v>
      </c>
      <c r="I1205" s="15">
        <f>IF(H1205&gt;0,HLOOKUP(R1205/100,数值规划表!$B$37:$AA$39,3),1)</f>
        <v>0.86399999999999999</v>
      </c>
      <c r="J1205" s="31" t="s">
        <v>1625</v>
      </c>
      <c r="K1205" s="15">
        <f>INDEX(数值规划表!$B$15:$B$18,MATCH(J1205,攻击范围,0))</f>
        <v>1</v>
      </c>
      <c r="L1205" s="70">
        <v>1</v>
      </c>
      <c r="M1205" s="70">
        <v>1</v>
      </c>
      <c r="N1205" s="15">
        <f t="shared" si="64"/>
        <v>62</v>
      </c>
      <c r="O1205" s="15">
        <f t="shared" si="65"/>
        <v>1.86</v>
      </c>
      <c r="P1205" s="15">
        <f>IF(G1205,INDEX(monster!$J$2:$J$681,MATCH(skill!C1205,monster!$A$2:$A$681,0)),Q1205)</f>
        <v>1.2</v>
      </c>
      <c r="R1205" s="81">
        <v>90</v>
      </c>
    </row>
    <row r="1206" spans="1:18" x14ac:dyDescent="0.15">
      <c r="A1206" s="53">
        <v>15328</v>
      </c>
      <c r="B1206" s="73" t="s">
        <v>2956</v>
      </c>
      <c r="C1206" s="53">
        <v>2117</v>
      </c>
      <c r="D1206" s="32">
        <v>7</v>
      </c>
      <c r="E1206" s="15">
        <f>INDEX(monster!$H$2:$H$681,MATCH(skill!C1206,monster!$A$2:$A$681,0))</f>
        <v>80.12</v>
      </c>
      <c r="F1206" s="15">
        <f>INDEX(monster!$I$2:$I$681,MATCH(C1206,monster!$A$2:$A$681,0))</f>
        <v>2.4</v>
      </c>
      <c r="G1206" s="70" t="b">
        <v>1</v>
      </c>
      <c r="H1206" s="31">
        <v>1</v>
      </c>
      <c r="I1206" s="15">
        <f>IF(H1206&gt;0,HLOOKUP(R1206/100,数值规划表!$B$37:$AA$39,3),1)</f>
        <v>0.86399999999999999</v>
      </c>
      <c r="J1206" s="31" t="s">
        <v>1625</v>
      </c>
      <c r="K1206" s="15">
        <f>INDEX(数值规划表!$B$15:$B$18,MATCH(J1206,攻击范围,0))</f>
        <v>1</v>
      </c>
      <c r="L1206" s="70">
        <v>1</v>
      </c>
      <c r="M1206" s="70">
        <v>1</v>
      </c>
      <c r="N1206" s="15">
        <f t="shared" si="64"/>
        <v>69</v>
      </c>
      <c r="O1206" s="15">
        <f t="shared" si="65"/>
        <v>2.0699999999999998</v>
      </c>
      <c r="P1206" s="15">
        <f>IF(G1206,INDEX(monster!$J$2:$J$681,MATCH(skill!C1206,monster!$A$2:$A$681,0)),Q1206)</f>
        <v>1.2</v>
      </c>
      <c r="R1206" s="81">
        <v>90</v>
      </c>
    </row>
    <row r="1207" spans="1:18" x14ac:dyDescent="0.15">
      <c r="A1207" s="53">
        <v>15329</v>
      </c>
      <c r="B1207" s="73" t="s">
        <v>2957</v>
      </c>
      <c r="C1207" s="53">
        <v>2118</v>
      </c>
      <c r="D1207" s="32">
        <v>8</v>
      </c>
      <c r="E1207" s="15">
        <f>INDEX(monster!$H$2:$H$681,MATCH(skill!C1207,monster!$A$2:$A$681,0))</f>
        <v>89.73</v>
      </c>
      <c r="F1207" s="15">
        <f>INDEX(monster!$I$2:$I$681,MATCH(C1207,monster!$A$2:$A$681,0))</f>
        <v>2.69</v>
      </c>
      <c r="G1207" s="70" t="b">
        <v>1</v>
      </c>
      <c r="H1207" s="31">
        <v>1</v>
      </c>
      <c r="I1207" s="15">
        <f>IF(H1207&gt;0,HLOOKUP(R1207/100,数值规划表!$B$37:$AA$39,3),1)</f>
        <v>0.86399999999999999</v>
      </c>
      <c r="J1207" s="31" t="s">
        <v>1625</v>
      </c>
      <c r="K1207" s="15">
        <f>INDEX(数值规划表!$B$15:$B$18,MATCH(J1207,攻击范围,0))</f>
        <v>1</v>
      </c>
      <c r="L1207" s="70">
        <v>1</v>
      </c>
      <c r="M1207" s="70">
        <v>1</v>
      </c>
      <c r="N1207" s="15">
        <f t="shared" si="64"/>
        <v>78</v>
      </c>
      <c r="O1207" s="15">
        <f t="shared" si="65"/>
        <v>2.3199999999999998</v>
      </c>
      <c r="P1207" s="15">
        <f>IF(G1207,INDEX(monster!$J$2:$J$681,MATCH(skill!C1207,monster!$A$2:$A$681,0)),Q1207)</f>
        <v>1.2</v>
      </c>
      <c r="R1207" s="81">
        <v>90</v>
      </c>
    </row>
    <row r="1208" spans="1:18" x14ac:dyDescent="0.15">
      <c r="A1208" s="53">
        <v>15330</v>
      </c>
      <c r="B1208" s="73" t="s">
        <v>2958</v>
      </c>
      <c r="C1208" s="53">
        <v>2119</v>
      </c>
      <c r="D1208" s="32">
        <v>9</v>
      </c>
      <c r="E1208" s="15">
        <f>INDEX(monster!$H$2:$H$681,MATCH(skill!C1208,monster!$A$2:$A$681,0))</f>
        <v>100.5</v>
      </c>
      <c r="F1208" s="15">
        <f>INDEX(monster!$I$2:$I$681,MATCH(C1208,monster!$A$2:$A$681,0))</f>
        <v>3.01</v>
      </c>
      <c r="G1208" s="70" t="b">
        <v>1</v>
      </c>
      <c r="H1208" s="31">
        <v>1</v>
      </c>
      <c r="I1208" s="15">
        <f>IF(H1208&gt;0,HLOOKUP(R1208/100,数值规划表!$B$37:$AA$39,3),1)</f>
        <v>0.86399999999999999</v>
      </c>
      <c r="J1208" s="31" t="s">
        <v>1625</v>
      </c>
      <c r="K1208" s="15">
        <f>INDEX(数值规划表!$B$15:$B$18,MATCH(J1208,攻击范围,0))</f>
        <v>1</v>
      </c>
      <c r="L1208" s="70">
        <v>1</v>
      </c>
      <c r="M1208" s="70">
        <v>1</v>
      </c>
      <c r="N1208" s="15">
        <f t="shared" si="64"/>
        <v>87</v>
      </c>
      <c r="O1208" s="15">
        <f t="shared" si="65"/>
        <v>2.6</v>
      </c>
      <c r="P1208" s="15">
        <f>IF(G1208,INDEX(monster!$J$2:$J$681,MATCH(skill!C1208,monster!$A$2:$A$681,0)),Q1208)</f>
        <v>1.2</v>
      </c>
      <c r="R1208" s="81">
        <v>90</v>
      </c>
    </row>
    <row r="1209" spans="1:18" x14ac:dyDescent="0.15">
      <c r="A1209" s="53">
        <v>15331</v>
      </c>
      <c r="B1209" s="73" t="s">
        <v>2959</v>
      </c>
      <c r="C1209" s="53">
        <v>2120</v>
      </c>
      <c r="D1209" s="32">
        <v>10</v>
      </c>
      <c r="E1209" s="15">
        <f>INDEX(monster!$H$2:$H$681,MATCH(skill!C1209,monster!$A$2:$A$681,0))</f>
        <v>112.56</v>
      </c>
      <c r="F1209" s="15">
        <f>INDEX(monster!$I$2:$I$681,MATCH(C1209,monster!$A$2:$A$681,0))</f>
        <v>3.38</v>
      </c>
      <c r="G1209" s="70" t="b">
        <v>1</v>
      </c>
      <c r="H1209" s="31">
        <v>1</v>
      </c>
      <c r="I1209" s="15">
        <f>IF(H1209&gt;0,HLOOKUP(R1209/100,数值规划表!$B$37:$AA$39,3),1)</f>
        <v>0.86399999999999999</v>
      </c>
      <c r="J1209" s="31" t="s">
        <v>1625</v>
      </c>
      <c r="K1209" s="15">
        <f>INDEX(数值规划表!$B$15:$B$18,MATCH(J1209,攻击范围,0))</f>
        <v>1</v>
      </c>
      <c r="L1209" s="70">
        <v>1</v>
      </c>
      <c r="M1209" s="70">
        <v>1</v>
      </c>
      <c r="N1209" s="15">
        <f t="shared" si="64"/>
        <v>97</v>
      </c>
      <c r="O1209" s="15">
        <f t="shared" si="65"/>
        <v>2.92</v>
      </c>
      <c r="P1209" s="15">
        <f>IF(G1209,INDEX(monster!$J$2:$J$681,MATCH(skill!C1209,monster!$A$2:$A$681,0)),Q1209)</f>
        <v>1.2</v>
      </c>
      <c r="R1209" s="81">
        <v>90</v>
      </c>
    </row>
    <row r="1210" spans="1:18" x14ac:dyDescent="0.15">
      <c r="A1210" s="53">
        <v>15350</v>
      </c>
      <c r="B1210" s="73" t="s">
        <v>2991</v>
      </c>
      <c r="C1210" s="31">
        <v>1406</v>
      </c>
      <c r="D1210" s="32">
        <v>0</v>
      </c>
      <c r="E1210" s="15">
        <f>INDEX(monster!$H$2:$H$681,MATCH(skill!C1210,monster!$A$2:$A$681,0))</f>
        <v>47.15</v>
      </c>
      <c r="F1210" s="15">
        <f>INDEX(monster!$I$2:$I$681,MATCH(C1210,monster!$A$2:$A$681,0))</f>
        <v>1.41</v>
      </c>
      <c r="G1210" s="70" t="b">
        <v>0</v>
      </c>
      <c r="H1210" s="31">
        <v>0</v>
      </c>
      <c r="I1210" s="15">
        <f>IF(H1210&gt;0,HLOOKUP(R1210/100,数值规划表!$B$37:$AA$39,3),1)</f>
        <v>1</v>
      </c>
      <c r="J1210" s="31" t="s">
        <v>1625</v>
      </c>
      <c r="K1210" s="15">
        <f>INDEX(数值规划表!$B$15:$B$18,MATCH(J1210,攻击范围,0))</f>
        <v>1</v>
      </c>
      <c r="L1210" s="70">
        <v>1.5</v>
      </c>
      <c r="M1210" s="70">
        <v>1</v>
      </c>
      <c r="N1210" s="15">
        <f t="shared" ref="N1210:N1220" si="67">ROUND(E1210*I1210*K1210*L1210,0)</f>
        <v>71</v>
      </c>
      <c r="O1210" s="15">
        <f t="shared" ref="O1210:O1220" si="68">ROUND(F1210*I1210*K1210*L1210,2)</f>
        <v>2.12</v>
      </c>
      <c r="P1210" s="15">
        <f>IF(G1210,INDEX(monster!$J$2:$J$681,MATCH(skill!C1210,monster!$A$2:$A$681,0)),Q1210)</f>
        <v>0</v>
      </c>
      <c r="R1210" s="81">
        <v>900</v>
      </c>
    </row>
    <row r="1211" spans="1:18" x14ac:dyDescent="0.15">
      <c r="A1211" s="53">
        <v>15351</v>
      </c>
      <c r="B1211" s="73" t="s">
        <v>2992</v>
      </c>
      <c r="C1211" s="31">
        <v>1407</v>
      </c>
      <c r="D1211" s="32">
        <v>1</v>
      </c>
      <c r="E1211" s="15">
        <f>INDEX(monster!$H$2:$H$681,MATCH(skill!C1211,monster!$A$2:$A$681,0))</f>
        <v>52.81</v>
      </c>
      <c r="F1211" s="15">
        <f>INDEX(monster!$I$2:$I$681,MATCH(C1211,monster!$A$2:$A$681,0))</f>
        <v>1.58</v>
      </c>
      <c r="G1211" s="70" t="b">
        <v>0</v>
      </c>
      <c r="H1211" s="31">
        <v>0</v>
      </c>
      <c r="I1211" s="15">
        <f>IF(H1211&gt;0,HLOOKUP(R1211/100,数值规划表!$B$37:$AA$39,3),1)</f>
        <v>1</v>
      </c>
      <c r="J1211" s="31" t="s">
        <v>1625</v>
      </c>
      <c r="K1211" s="15">
        <f>INDEX(数值规划表!$B$15:$B$18,MATCH(J1211,攻击范围,0))</f>
        <v>1</v>
      </c>
      <c r="L1211" s="70">
        <v>1.5</v>
      </c>
      <c r="M1211" s="70">
        <v>1</v>
      </c>
      <c r="N1211" s="15">
        <f t="shared" si="67"/>
        <v>79</v>
      </c>
      <c r="O1211" s="15">
        <f t="shared" si="68"/>
        <v>2.37</v>
      </c>
      <c r="P1211" s="15">
        <f>IF(G1211,INDEX(monster!$J$2:$J$681,MATCH(skill!C1211,monster!$A$2:$A$681,0)),Q1211)</f>
        <v>0</v>
      </c>
      <c r="R1211" s="81">
        <v>900</v>
      </c>
    </row>
    <row r="1212" spans="1:18" x14ac:dyDescent="0.15">
      <c r="A1212" s="53">
        <v>15352</v>
      </c>
      <c r="B1212" s="73" t="s">
        <v>2993</v>
      </c>
      <c r="C1212" s="31">
        <v>1408</v>
      </c>
      <c r="D1212" s="32">
        <v>2</v>
      </c>
      <c r="E1212" s="15">
        <f>INDEX(monster!$H$2:$H$681,MATCH(skill!C1212,monster!$A$2:$A$681,0))</f>
        <v>59.14</v>
      </c>
      <c r="F1212" s="15">
        <f>INDEX(monster!$I$2:$I$681,MATCH(C1212,monster!$A$2:$A$681,0))</f>
        <v>1.77</v>
      </c>
      <c r="G1212" s="70" t="b">
        <v>0</v>
      </c>
      <c r="H1212" s="31">
        <v>0</v>
      </c>
      <c r="I1212" s="15">
        <f>IF(H1212&gt;0,HLOOKUP(R1212/100,数值规划表!$B$37:$AA$39,3),1)</f>
        <v>1</v>
      </c>
      <c r="J1212" s="31" t="s">
        <v>1625</v>
      </c>
      <c r="K1212" s="15">
        <f>INDEX(数值规划表!$B$15:$B$18,MATCH(J1212,攻击范围,0))</f>
        <v>1</v>
      </c>
      <c r="L1212" s="70">
        <v>1.5</v>
      </c>
      <c r="M1212" s="70">
        <v>1</v>
      </c>
      <c r="N1212" s="15">
        <f t="shared" si="67"/>
        <v>89</v>
      </c>
      <c r="O1212" s="15">
        <f t="shared" si="68"/>
        <v>2.66</v>
      </c>
      <c r="P1212" s="15">
        <f>IF(G1212,INDEX(monster!$J$2:$J$681,MATCH(skill!C1212,monster!$A$2:$A$681,0)),Q1212)</f>
        <v>0</v>
      </c>
      <c r="R1212" s="81">
        <v>900</v>
      </c>
    </row>
    <row r="1213" spans="1:18" x14ac:dyDescent="0.15">
      <c r="A1213" s="53">
        <v>15353</v>
      </c>
      <c r="B1213" s="73" t="s">
        <v>2994</v>
      </c>
      <c r="C1213" s="31">
        <v>1409</v>
      </c>
      <c r="D1213" s="32">
        <v>3</v>
      </c>
      <c r="E1213" s="15">
        <f>INDEX(monster!$H$2:$H$681,MATCH(skill!C1213,monster!$A$2:$A$681,0))</f>
        <v>66.239999999999995</v>
      </c>
      <c r="F1213" s="15">
        <f>INDEX(monster!$I$2:$I$681,MATCH(C1213,monster!$A$2:$A$681,0))</f>
        <v>1.99</v>
      </c>
      <c r="G1213" s="70" t="b">
        <v>0</v>
      </c>
      <c r="H1213" s="31">
        <v>0</v>
      </c>
      <c r="I1213" s="15">
        <f>IF(H1213&gt;0,HLOOKUP(R1213/100,数值规划表!$B$37:$AA$39,3),1)</f>
        <v>1</v>
      </c>
      <c r="J1213" s="31" t="s">
        <v>1625</v>
      </c>
      <c r="K1213" s="15">
        <f>INDEX(数值规划表!$B$15:$B$18,MATCH(J1213,攻击范围,0))</f>
        <v>1</v>
      </c>
      <c r="L1213" s="70">
        <v>1.5</v>
      </c>
      <c r="M1213" s="70">
        <v>1</v>
      </c>
      <c r="N1213" s="15">
        <f t="shared" si="67"/>
        <v>99</v>
      </c>
      <c r="O1213" s="15">
        <f t="shared" si="68"/>
        <v>2.99</v>
      </c>
      <c r="P1213" s="15">
        <f>IF(G1213,INDEX(monster!$J$2:$J$681,MATCH(skill!C1213,monster!$A$2:$A$681,0)),Q1213)</f>
        <v>0</v>
      </c>
      <c r="R1213" s="81">
        <v>900</v>
      </c>
    </row>
    <row r="1214" spans="1:18" x14ac:dyDescent="0.15">
      <c r="A1214" s="53">
        <v>15354</v>
      </c>
      <c r="B1214" s="73" t="s">
        <v>2995</v>
      </c>
      <c r="C1214" s="31">
        <v>1410</v>
      </c>
      <c r="D1214" s="32">
        <v>4</v>
      </c>
      <c r="E1214" s="15">
        <f>INDEX(monster!$H$2:$H$681,MATCH(skill!C1214,monster!$A$2:$A$681,0))</f>
        <v>74.19</v>
      </c>
      <c r="F1214" s="15">
        <f>INDEX(monster!$I$2:$I$681,MATCH(C1214,monster!$A$2:$A$681,0))</f>
        <v>2.23</v>
      </c>
      <c r="G1214" s="70" t="b">
        <v>0</v>
      </c>
      <c r="H1214" s="31">
        <v>0</v>
      </c>
      <c r="I1214" s="15">
        <f>IF(H1214&gt;0,HLOOKUP(R1214/100,数值规划表!$B$37:$AA$39,3),1)</f>
        <v>1</v>
      </c>
      <c r="J1214" s="31" t="s">
        <v>1625</v>
      </c>
      <c r="K1214" s="15">
        <f>INDEX(数值规划表!$B$15:$B$18,MATCH(J1214,攻击范围,0))</f>
        <v>1</v>
      </c>
      <c r="L1214" s="70">
        <v>1.5</v>
      </c>
      <c r="M1214" s="70">
        <v>1</v>
      </c>
      <c r="N1214" s="15">
        <f t="shared" si="67"/>
        <v>111</v>
      </c>
      <c r="O1214" s="15">
        <f t="shared" si="68"/>
        <v>3.35</v>
      </c>
      <c r="P1214" s="15">
        <f>IF(G1214,INDEX(monster!$J$2:$J$681,MATCH(skill!C1214,monster!$A$2:$A$681,0)),Q1214)</f>
        <v>0</v>
      </c>
      <c r="R1214" s="81">
        <v>900</v>
      </c>
    </row>
    <row r="1215" spans="1:18" x14ac:dyDescent="0.15">
      <c r="A1215" s="53">
        <v>15355</v>
      </c>
      <c r="B1215" s="73" t="s">
        <v>2996</v>
      </c>
      <c r="C1215" s="31">
        <v>1411</v>
      </c>
      <c r="D1215" s="32">
        <v>5</v>
      </c>
      <c r="E1215" s="15">
        <f>INDEX(monster!$H$2:$H$681,MATCH(skill!C1215,monster!$A$2:$A$681,0))</f>
        <v>83.09</v>
      </c>
      <c r="F1215" s="15">
        <f>INDEX(monster!$I$2:$I$681,MATCH(C1215,monster!$A$2:$A$681,0))</f>
        <v>2.4900000000000002</v>
      </c>
      <c r="G1215" s="70" t="b">
        <v>0</v>
      </c>
      <c r="H1215" s="31">
        <v>0</v>
      </c>
      <c r="I1215" s="15">
        <f>IF(H1215&gt;0,HLOOKUP(R1215/100,数值规划表!$B$37:$AA$39,3),1)</f>
        <v>1</v>
      </c>
      <c r="J1215" s="31" t="s">
        <v>1625</v>
      </c>
      <c r="K1215" s="15">
        <f>INDEX(数值规划表!$B$15:$B$18,MATCH(J1215,攻击范围,0))</f>
        <v>1</v>
      </c>
      <c r="L1215" s="70">
        <v>1.5</v>
      </c>
      <c r="M1215" s="70">
        <v>1</v>
      </c>
      <c r="N1215" s="15">
        <f t="shared" si="67"/>
        <v>125</v>
      </c>
      <c r="O1215" s="15">
        <f t="shared" si="68"/>
        <v>3.74</v>
      </c>
      <c r="P1215" s="15">
        <f>IF(G1215,INDEX(monster!$J$2:$J$681,MATCH(skill!C1215,monster!$A$2:$A$681,0)),Q1215)</f>
        <v>0</v>
      </c>
      <c r="R1215" s="81">
        <v>900</v>
      </c>
    </row>
    <row r="1216" spans="1:18" x14ac:dyDescent="0.15">
      <c r="A1216" s="53">
        <v>15356</v>
      </c>
      <c r="B1216" s="73" t="s">
        <v>2997</v>
      </c>
      <c r="C1216" s="31">
        <v>1412</v>
      </c>
      <c r="D1216" s="32">
        <v>6</v>
      </c>
      <c r="E1216" s="15">
        <f>INDEX(monster!$H$2:$H$681,MATCH(skill!C1216,monster!$A$2:$A$681,0))</f>
        <v>93.07</v>
      </c>
      <c r="F1216" s="15">
        <f>INDEX(monster!$I$2:$I$681,MATCH(C1216,monster!$A$2:$A$681,0))</f>
        <v>2.79</v>
      </c>
      <c r="G1216" s="70" t="b">
        <v>0</v>
      </c>
      <c r="H1216" s="31">
        <v>0</v>
      </c>
      <c r="I1216" s="15">
        <f>IF(H1216&gt;0,HLOOKUP(R1216/100,数值规划表!$B$37:$AA$39,3),1)</f>
        <v>1</v>
      </c>
      <c r="J1216" s="31" t="s">
        <v>1625</v>
      </c>
      <c r="K1216" s="15">
        <f>INDEX(数值规划表!$B$15:$B$18,MATCH(J1216,攻击范围,0))</f>
        <v>1</v>
      </c>
      <c r="L1216" s="70">
        <v>1.5</v>
      </c>
      <c r="M1216" s="70">
        <v>1</v>
      </c>
      <c r="N1216" s="15">
        <f t="shared" si="67"/>
        <v>140</v>
      </c>
      <c r="O1216" s="15">
        <f t="shared" si="68"/>
        <v>4.1900000000000004</v>
      </c>
      <c r="P1216" s="15">
        <f>IF(G1216,INDEX(monster!$J$2:$J$681,MATCH(skill!C1216,monster!$A$2:$A$681,0)),Q1216)</f>
        <v>0</v>
      </c>
      <c r="R1216" s="81">
        <v>900</v>
      </c>
    </row>
    <row r="1217" spans="1:18" x14ac:dyDescent="0.15">
      <c r="A1217" s="53">
        <v>15357</v>
      </c>
      <c r="B1217" s="73" t="s">
        <v>2998</v>
      </c>
      <c r="C1217" s="31">
        <v>1413</v>
      </c>
      <c r="D1217" s="32">
        <v>7</v>
      </c>
      <c r="E1217" s="15">
        <f>INDEX(monster!$H$2:$H$681,MATCH(skill!C1217,monster!$A$2:$A$681,0))</f>
        <v>104.23</v>
      </c>
      <c r="F1217" s="15">
        <f>INDEX(monster!$I$2:$I$681,MATCH(C1217,monster!$A$2:$A$681,0))</f>
        <v>3.13</v>
      </c>
      <c r="G1217" s="70" t="b">
        <v>0</v>
      </c>
      <c r="H1217" s="31">
        <v>0</v>
      </c>
      <c r="I1217" s="15">
        <f>IF(H1217&gt;0,HLOOKUP(R1217/100,数值规划表!$B$37:$AA$39,3),1)</f>
        <v>1</v>
      </c>
      <c r="J1217" s="31" t="s">
        <v>1625</v>
      </c>
      <c r="K1217" s="15">
        <f>INDEX(数值规划表!$B$15:$B$18,MATCH(J1217,攻击范围,0))</f>
        <v>1</v>
      </c>
      <c r="L1217" s="70">
        <v>1.5</v>
      </c>
      <c r="M1217" s="70">
        <v>1</v>
      </c>
      <c r="N1217" s="15">
        <f t="shared" si="67"/>
        <v>156</v>
      </c>
      <c r="O1217" s="15">
        <f t="shared" si="68"/>
        <v>4.7</v>
      </c>
      <c r="P1217" s="15">
        <f>IF(G1217,INDEX(monster!$J$2:$J$681,MATCH(skill!C1217,monster!$A$2:$A$681,0)),Q1217)</f>
        <v>0</v>
      </c>
      <c r="R1217" s="81">
        <v>900</v>
      </c>
    </row>
    <row r="1218" spans="1:18" x14ac:dyDescent="0.15">
      <c r="A1218" s="53">
        <v>15358</v>
      </c>
      <c r="B1218" s="73" t="s">
        <v>2999</v>
      </c>
      <c r="C1218" s="31">
        <v>1414</v>
      </c>
      <c r="D1218" s="32">
        <v>8</v>
      </c>
      <c r="E1218" s="15">
        <f>INDEX(monster!$H$2:$H$681,MATCH(skill!C1218,monster!$A$2:$A$681,0))</f>
        <v>116.74</v>
      </c>
      <c r="F1218" s="15">
        <f>INDEX(monster!$I$2:$I$681,MATCH(C1218,monster!$A$2:$A$681,0))</f>
        <v>3.5</v>
      </c>
      <c r="G1218" s="70" t="b">
        <v>0</v>
      </c>
      <c r="H1218" s="31">
        <v>0</v>
      </c>
      <c r="I1218" s="15">
        <f>IF(H1218&gt;0,HLOOKUP(R1218/100,数值规划表!$B$37:$AA$39,3),1)</f>
        <v>1</v>
      </c>
      <c r="J1218" s="31" t="s">
        <v>1625</v>
      </c>
      <c r="K1218" s="15">
        <f>INDEX(数值规划表!$B$15:$B$18,MATCH(J1218,攻击范围,0))</f>
        <v>1</v>
      </c>
      <c r="L1218" s="70">
        <v>1.5</v>
      </c>
      <c r="M1218" s="70">
        <v>1</v>
      </c>
      <c r="N1218" s="15">
        <f t="shared" si="67"/>
        <v>175</v>
      </c>
      <c r="O1218" s="15">
        <f t="shared" si="68"/>
        <v>5.25</v>
      </c>
      <c r="P1218" s="15">
        <f>IF(G1218,INDEX(monster!$J$2:$J$681,MATCH(skill!C1218,monster!$A$2:$A$681,0)),Q1218)</f>
        <v>0</v>
      </c>
      <c r="R1218" s="81">
        <v>900</v>
      </c>
    </row>
    <row r="1219" spans="1:18" x14ac:dyDescent="0.15">
      <c r="A1219" s="53">
        <v>15359</v>
      </c>
      <c r="B1219" s="73" t="s">
        <v>3000</v>
      </c>
      <c r="C1219" s="31">
        <v>1415</v>
      </c>
      <c r="D1219" s="32">
        <v>9</v>
      </c>
      <c r="E1219" s="15">
        <f>INDEX(monster!$H$2:$H$681,MATCH(skill!C1219,monster!$A$2:$A$681,0))</f>
        <v>130.75</v>
      </c>
      <c r="F1219" s="15">
        <f>INDEX(monster!$I$2:$I$681,MATCH(C1219,monster!$A$2:$A$681,0))</f>
        <v>3.92</v>
      </c>
      <c r="G1219" s="70" t="b">
        <v>0</v>
      </c>
      <c r="H1219" s="31">
        <v>0</v>
      </c>
      <c r="I1219" s="15">
        <f>IF(H1219&gt;0,HLOOKUP(R1219/100,数值规划表!$B$37:$AA$39,3),1)</f>
        <v>1</v>
      </c>
      <c r="J1219" s="31" t="s">
        <v>1625</v>
      </c>
      <c r="K1219" s="15">
        <f>INDEX(数值规划表!$B$15:$B$18,MATCH(J1219,攻击范围,0))</f>
        <v>1</v>
      </c>
      <c r="L1219" s="70">
        <v>1.5</v>
      </c>
      <c r="M1219" s="70">
        <v>1</v>
      </c>
      <c r="N1219" s="15">
        <f t="shared" si="67"/>
        <v>196</v>
      </c>
      <c r="O1219" s="15">
        <f t="shared" si="68"/>
        <v>5.88</v>
      </c>
      <c r="P1219" s="15">
        <f>IF(G1219,INDEX(monster!$J$2:$J$681,MATCH(skill!C1219,monster!$A$2:$A$681,0)),Q1219)</f>
        <v>0</v>
      </c>
      <c r="R1219" s="81">
        <v>900</v>
      </c>
    </row>
    <row r="1220" spans="1:18" x14ac:dyDescent="0.15">
      <c r="A1220" s="53">
        <v>15360</v>
      </c>
      <c r="B1220" s="73" t="s">
        <v>3001</v>
      </c>
      <c r="C1220" s="31">
        <v>1416</v>
      </c>
      <c r="D1220" s="32">
        <v>10</v>
      </c>
      <c r="E1220" s="15">
        <f>INDEX(monster!$H$2:$H$681,MATCH(skill!C1220,monster!$A$2:$A$681,0))</f>
        <v>146.44</v>
      </c>
      <c r="F1220" s="15">
        <f>INDEX(monster!$I$2:$I$681,MATCH(C1220,monster!$A$2:$A$681,0))</f>
        <v>4.3899999999999997</v>
      </c>
      <c r="G1220" s="70" t="b">
        <v>0</v>
      </c>
      <c r="H1220" s="31">
        <v>0</v>
      </c>
      <c r="I1220" s="15">
        <f>IF(H1220&gt;0,HLOOKUP(R1220/100,数值规划表!$B$37:$AA$39,3),1)</f>
        <v>1</v>
      </c>
      <c r="J1220" s="31" t="s">
        <v>1625</v>
      </c>
      <c r="K1220" s="15">
        <f>INDEX(数值规划表!$B$15:$B$18,MATCH(J1220,攻击范围,0))</f>
        <v>1</v>
      </c>
      <c r="L1220" s="70">
        <v>1.5</v>
      </c>
      <c r="M1220" s="70">
        <v>1</v>
      </c>
      <c r="N1220" s="15">
        <f t="shared" si="67"/>
        <v>220</v>
      </c>
      <c r="O1220" s="15">
        <f t="shared" si="68"/>
        <v>6.59</v>
      </c>
      <c r="P1220" s="15">
        <f>IF(G1220,INDEX(monster!$J$2:$J$681,MATCH(skill!C1220,monster!$A$2:$A$681,0)),Q1220)</f>
        <v>0</v>
      </c>
      <c r="R1220" s="81">
        <v>900</v>
      </c>
    </row>
    <row r="1221" spans="1:18" x14ac:dyDescent="0.15">
      <c r="A1221" s="53">
        <v>15361</v>
      </c>
      <c r="B1221" s="53" t="s">
        <v>3004</v>
      </c>
      <c r="C1221" s="31">
        <v>1127</v>
      </c>
      <c r="D1221" s="32">
        <v>0</v>
      </c>
      <c r="E1221" s="15">
        <f>INDEX(monster!$H$2:$H$681,MATCH(skill!C1221,monster!$A$2:$A$681,0))</f>
        <v>56.98</v>
      </c>
      <c r="F1221" s="15">
        <f>INDEX(monster!$I$2:$I$681,MATCH(C1221,monster!$A$2:$A$681,0))</f>
        <v>1.71</v>
      </c>
      <c r="G1221" s="70" t="b">
        <v>1</v>
      </c>
      <c r="H1221" s="31">
        <v>1</v>
      </c>
      <c r="I1221" s="15">
        <f>IF(H1221&gt;0,HLOOKUP(R1221/100,数值规划表!$B$37:$AA$39,3),1)</f>
        <v>1.7999999999999998</v>
      </c>
      <c r="J1221" s="31" t="s">
        <v>1625</v>
      </c>
      <c r="K1221" s="15">
        <f>INDEX(数值规划表!$B$15:$B$18,MATCH(J1221,攻击范围,0))</f>
        <v>1</v>
      </c>
      <c r="L1221" s="70">
        <v>0.5</v>
      </c>
      <c r="M1221" s="70">
        <v>1</v>
      </c>
      <c r="N1221" s="15">
        <f t="shared" ref="N1221:N1231" si="69">ROUND(E1221*I1221*K1221*L1221,0)</f>
        <v>51</v>
      </c>
      <c r="O1221" s="15">
        <f t="shared" ref="O1221:O1231" si="70">ROUND(F1221*I1221*K1221*L1221,2)</f>
        <v>1.54</v>
      </c>
      <c r="P1221" s="15">
        <f>IF(G1221,INDEX(monster!$J$2:$J$681,MATCH(skill!C1221,monster!$A$2:$A$681,0)),Q1221)</f>
        <v>1.2</v>
      </c>
      <c r="R1221" s="81">
        <v>150</v>
      </c>
    </row>
    <row r="1222" spans="1:18" x14ac:dyDescent="0.15">
      <c r="A1222" s="53">
        <v>15362</v>
      </c>
      <c r="B1222" s="53" t="s">
        <v>3005</v>
      </c>
      <c r="C1222" s="31">
        <v>1128</v>
      </c>
      <c r="D1222" s="32">
        <v>1</v>
      </c>
      <c r="E1222" s="15">
        <f>INDEX(monster!$H$2:$H$681,MATCH(skill!C1222,monster!$A$2:$A$681,0))</f>
        <v>63.82</v>
      </c>
      <c r="F1222" s="15">
        <f>INDEX(monster!$I$2:$I$681,MATCH(C1222,monster!$A$2:$A$681,0))</f>
        <v>1.91</v>
      </c>
      <c r="G1222" s="70" t="b">
        <v>1</v>
      </c>
      <c r="H1222" s="31">
        <v>1</v>
      </c>
      <c r="I1222" s="15">
        <f>IF(H1222&gt;0,HLOOKUP(R1222/100,数值规划表!$B$37:$AA$39,3),1)</f>
        <v>1.7999999999999998</v>
      </c>
      <c r="J1222" s="31" t="s">
        <v>1625</v>
      </c>
      <c r="K1222" s="15">
        <f>INDEX(数值规划表!$B$15:$B$18,MATCH(J1222,攻击范围,0))</f>
        <v>1</v>
      </c>
      <c r="L1222" s="70">
        <v>0.5</v>
      </c>
      <c r="M1222" s="70">
        <v>1</v>
      </c>
      <c r="N1222" s="15">
        <f t="shared" si="69"/>
        <v>57</v>
      </c>
      <c r="O1222" s="15">
        <f t="shared" si="70"/>
        <v>1.72</v>
      </c>
      <c r="P1222" s="15">
        <f>IF(G1222,INDEX(monster!$J$2:$J$681,MATCH(skill!C1222,monster!$A$2:$A$681,0)),Q1222)</f>
        <v>1.2</v>
      </c>
      <c r="R1222" s="81">
        <v>150</v>
      </c>
    </row>
    <row r="1223" spans="1:18" x14ac:dyDescent="0.15">
      <c r="A1223" s="53">
        <v>15363</v>
      </c>
      <c r="B1223" s="53" t="s">
        <v>3006</v>
      </c>
      <c r="C1223" s="31">
        <v>1129</v>
      </c>
      <c r="D1223" s="32">
        <v>2</v>
      </c>
      <c r="E1223" s="15">
        <f>INDEX(monster!$H$2:$H$681,MATCH(skill!C1223,monster!$A$2:$A$681,0))</f>
        <v>71.48</v>
      </c>
      <c r="F1223" s="15">
        <f>INDEX(monster!$I$2:$I$681,MATCH(C1223,monster!$A$2:$A$681,0))</f>
        <v>2.14</v>
      </c>
      <c r="G1223" s="70" t="b">
        <v>1</v>
      </c>
      <c r="H1223" s="31">
        <v>1</v>
      </c>
      <c r="I1223" s="15">
        <f>IF(H1223&gt;0,HLOOKUP(R1223/100,数值规划表!$B$37:$AA$39,3),1)</f>
        <v>1.7999999999999998</v>
      </c>
      <c r="J1223" s="31" t="s">
        <v>1625</v>
      </c>
      <c r="K1223" s="15">
        <f>INDEX(数值规划表!$B$15:$B$18,MATCH(J1223,攻击范围,0))</f>
        <v>1</v>
      </c>
      <c r="L1223" s="70">
        <v>0.5</v>
      </c>
      <c r="M1223" s="70">
        <v>1</v>
      </c>
      <c r="N1223" s="15">
        <f t="shared" si="69"/>
        <v>64</v>
      </c>
      <c r="O1223" s="15">
        <f t="shared" si="70"/>
        <v>1.93</v>
      </c>
      <c r="P1223" s="15">
        <f>IF(G1223,INDEX(monster!$J$2:$J$681,MATCH(skill!C1223,monster!$A$2:$A$681,0)),Q1223)</f>
        <v>1.2</v>
      </c>
      <c r="R1223" s="81">
        <v>150</v>
      </c>
    </row>
    <row r="1224" spans="1:18" x14ac:dyDescent="0.15">
      <c r="A1224" s="53">
        <v>15364</v>
      </c>
      <c r="B1224" s="53" t="s">
        <v>3007</v>
      </c>
      <c r="C1224" s="31">
        <v>1130</v>
      </c>
      <c r="D1224" s="32">
        <v>3</v>
      </c>
      <c r="E1224" s="15">
        <f>INDEX(monster!$H$2:$H$681,MATCH(skill!C1224,monster!$A$2:$A$681,0))</f>
        <v>80.05</v>
      </c>
      <c r="F1224" s="15">
        <f>INDEX(monster!$I$2:$I$681,MATCH(C1224,monster!$A$2:$A$681,0))</f>
        <v>2.4</v>
      </c>
      <c r="G1224" s="70" t="b">
        <v>1</v>
      </c>
      <c r="H1224" s="31">
        <v>1</v>
      </c>
      <c r="I1224" s="15">
        <f>IF(H1224&gt;0,HLOOKUP(R1224/100,数值规划表!$B$37:$AA$39,3),1)</f>
        <v>1.7999999999999998</v>
      </c>
      <c r="J1224" s="31" t="s">
        <v>1625</v>
      </c>
      <c r="K1224" s="15">
        <f>INDEX(数值规划表!$B$15:$B$18,MATCH(J1224,攻击范围,0))</f>
        <v>1</v>
      </c>
      <c r="L1224" s="70">
        <v>0.5</v>
      </c>
      <c r="M1224" s="70">
        <v>1</v>
      </c>
      <c r="N1224" s="15">
        <f t="shared" si="69"/>
        <v>72</v>
      </c>
      <c r="O1224" s="15">
        <f t="shared" si="70"/>
        <v>2.16</v>
      </c>
      <c r="P1224" s="15">
        <f>IF(G1224,INDEX(monster!$J$2:$J$681,MATCH(skill!C1224,monster!$A$2:$A$681,0)),Q1224)</f>
        <v>1.2</v>
      </c>
      <c r="R1224" s="81">
        <v>150</v>
      </c>
    </row>
    <row r="1225" spans="1:18" x14ac:dyDescent="0.15">
      <c r="A1225" s="53">
        <v>15365</v>
      </c>
      <c r="B1225" s="53" t="s">
        <v>3008</v>
      </c>
      <c r="C1225" s="31">
        <v>1131</v>
      </c>
      <c r="D1225" s="32">
        <v>4</v>
      </c>
      <c r="E1225" s="15">
        <f>INDEX(monster!$H$2:$H$681,MATCH(skill!C1225,monster!$A$2:$A$681,0))</f>
        <v>89.66</v>
      </c>
      <c r="F1225" s="15">
        <f>INDEX(monster!$I$2:$I$681,MATCH(C1225,monster!$A$2:$A$681,0))</f>
        <v>2.69</v>
      </c>
      <c r="G1225" s="70" t="b">
        <v>1</v>
      </c>
      <c r="H1225" s="31">
        <v>1</v>
      </c>
      <c r="I1225" s="15">
        <f>IF(H1225&gt;0,HLOOKUP(R1225/100,数值规划表!$B$37:$AA$39,3),1)</f>
        <v>1.7999999999999998</v>
      </c>
      <c r="J1225" s="31" t="s">
        <v>1625</v>
      </c>
      <c r="K1225" s="15">
        <f>INDEX(数值规划表!$B$15:$B$18,MATCH(J1225,攻击范围,0))</f>
        <v>1</v>
      </c>
      <c r="L1225" s="70">
        <v>0.5</v>
      </c>
      <c r="M1225" s="70">
        <v>1</v>
      </c>
      <c r="N1225" s="15">
        <f t="shared" si="69"/>
        <v>81</v>
      </c>
      <c r="O1225" s="15">
        <f t="shared" si="70"/>
        <v>2.42</v>
      </c>
      <c r="P1225" s="15">
        <f>IF(G1225,INDEX(monster!$J$2:$J$681,MATCH(skill!C1225,monster!$A$2:$A$681,0)),Q1225)</f>
        <v>1.2</v>
      </c>
      <c r="R1225" s="81">
        <v>150</v>
      </c>
    </row>
    <row r="1226" spans="1:18" x14ac:dyDescent="0.15">
      <c r="A1226" s="53">
        <v>15366</v>
      </c>
      <c r="B1226" s="53" t="s">
        <v>3009</v>
      </c>
      <c r="C1226" s="31">
        <v>1132</v>
      </c>
      <c r="D1226" s="32">
        <v>5</v>
      </c>
      <c r="E1226" s="15">
        <f>INDEX(monster!$H$2:$H$681,MATCH(skill!C1226,monster!$A$2:$A$681,0))</f>
        <v>100.42</v>
      </c>
      <c r="F1226" s="15">
        <f>INDEX(monster!$I$2:$I$681,MATCH(C1226,monster!$A$2:$A$681,0))</f>
        <v>3.01</v>
      </c>
      <c r="G1226" s="70" t="b">
        <v>1</v>
      </c>
      <c r="H1226" s="31">
        <v>1</v>
      </c>
      <c r="I1226" s="15">
        <f>IF(H1226&gt;0,HLOOKUP(R1226/100,数值规划表!$B$37:$AA$39,3),1)</f>
        <v>1.7999999999999998</v>
      </c>
      <c r="J1226" s="31" t="s">
        <v>1625</v>
      </c>
      <c r="K1226" s="15">
        <f>INDEX(数值规划表!$B$15:$B$18,MATCH(J1226,攻击范围,0))</f>
        <v>1</v>
      </c>
      <c r="L1226" s="70">
        <v>0.5</v>
      </c>
      <c r="M1226" s="70">
        <v>1</v>
      </c>
      <c r="N1226" s="15">
        <f t="shared" si="69"/>
        <v>90</v>
      </c>
      <c r="O1226" s="15">
        <f t="shared" si="70"/>
        <v>2.71</v>
      </c>
      <c r="P1226" s="15">
        <f>IF(G1226,INDEX(monster!$J$2:$J$681,MATCH(skill!C1226,monster!$A$2:$A$681,0)),Q1226)</f>
        <v>1.2</v>
      </c>
      <c r="R1226" s="81">
        <v>150</v>
      </c>
    </row>
    <row r="1227" spans="1:18" x14ac:dyDescent="0.15">
      <c r="A1227" s="53">
        <v>15367</v>
      </c>
      <c r="B1227" s="53" t="s">
        <v>3010</v>
      </c>
      <c r="C1227" s="31">
        <v>1133</v>
      </c>
      <c r="D1227" s="32">
        <v>6</v>
      </c>
      <c r="E1227" s="15">
        <f>INDEX(monster!$H$2:$H$681,MATCH(skill!C1227,monster!$A$2:$A$681,0))</f>
        <v>112.47</v>
      </c>
      <c r="F1227" s="15">
        <f>INDEX(monster!$I$2:$I$681,MATCH(C1227,monster!$A$2:$A$681,0))</f>
        <v>3.37</v>
      </c>
      <c r="G1227" s="70" t="b">
        <v>1</v>
      </c>
      <c r="H1227" s="31">
        <v>1</v>
      </c>
      <c r="I1227" s="15">
        <f>IF(H1227&gt;0,HLOOKUP(R1227/100,数值规划表!$B$37:$AA$39,3),1)</f>
        <v>1.7999999999999998</v>
      </c>
      <c r="J1227" s="31" t="s">
        <v>1625</v>
      </c>
      <c r="K1227" s="15">
        <f>INDEX(数值规划表!$B$15:$B$18,MATCH(J1227,攻击范围,0))</f>
        <v>1</v>
      </c>
      <c r="L1227" s="70">
        <v>0.5</v>
      </c>
      <c r="M1227" s="70">
        <v>1</v>
      </c>
      <c r="N1227" s="15">
        <f t="shared" si="69"/>
        <v>101</v>
      </c>
      <c r="O1227" s="15">
        <f t="shared" si="70"/>
        <v>3.03</v>
      </c>
      <c r="P1227" s="15">
        <f>IF(G1227,INDEX(monster!$J$2:$J$681,MATCH(skill!C1227,monster!$A$2:$A$681,0)),Q1227)</f>
        <v>1.2</v>
      </c>
      <c r="R1227" s="81">
        <v>150</v>
      </c>
    </row>
    <row r="1228" spans="1:18" x14ac:dyDescent="0.15">
      <c r="A1228" s="53">
        <v>15368</v>
      </c>
      <c r="B1228" s="53" t="s">
        <v>3011</v>
      </c>
      <c r="C1228" s="31">
        <v>1134</v>
      </c>
      <c r="D1228" s="32">
        <v>7</v>
      </c>
      <c r="E1228" s="15">
        <f>INDEX(monster!$H$2:$H$681,MATCH(skill!C1228,monster!$A$2:$A$681,0))</f>
        <v>125.96</v>
      </c>
      <c r="F1228" s="15">
        <f>INDEX(monster!$I$2:$I$681,MATCH(C1228,monster!$A$2:$A$681,0))</f>
        <v>3.78</v>
      </c>
      <c r="G1228" s="70" t="b">
        <v>1</v>
      </c>
      <c r="H1228" s="31">
        <v>1</v>
      </c>
      <c r="I1228" s="15">
        <f>IF(H1228&gt;0,HLOOKUP(R1228/100,数值规划表!$B$37:$AA$39,3),1)</f>
        <v>1.7999999999999998</v>
      </c>
      <c r="J1228" s="31" t="s">
        <v>1625</v>
      </c>
      <c r="K1228" s="15">
        <f>INDEX(数值规划表!$B$15:$B$18,MATCH(J1228,攻击范围,0))</f>
        <v>1</v>
      </c>
      <c r="L1228" s="70">
        <v>0.5</v>
      </c>
      <c r="M1228" s="70">
        <v>1</v>
      </c>
      <c r="N1228" s="15">
        <f t="shared" si="69"/>
        <v>113</v>
      </c>
      <c r="O1228" s="15">
        <f t="shared" si="70"/>
        <v>3.4</v>
      </c>
      <c r="P1228" s="15">
        <f>IF(G1228,INDEX(monster!$J$2:$J$681,MATCH(skill!C1228,monster!$A$2:$A$681,0)),Q1228)</f>
        <v>1.2</v>
      </c>
      <c r="R1228" s="81">
        <v>150</v>
      </c>
    </row>
    <row r="1229" spans="1:18" x14ac:dyDescent="0.15">
      <c r="A1229" s="53">
        <v>15369</v>
      </c>
      <c r="B1229" s="53" t="s">
        <v>3012</v>
      </c>
      <c r="C1229" s="31">
        <v>1135</v>
      </c>
      <c r="D1229" s="32">
        <v>8</v>
      </c>
      <c r="E1229" s="15">
        <f>INDEX(monster!$H$2:$H$681,MATCH(skill!C1229,monster!$A$2:$A$681,0))</f>
        <v>141.08000000000001</v>
      </c>
      <c r="F1229" s="15">
        <f>INDEX(monster!$I$2:$I$681,MATCH(C1229,monster!$A$2:$A$681,0))</f>
        <v>4.2300000000000004</v>
      </c>
      <c r="G1229" s="70" t="b">
        <v>1</v>
      </c>
      <c r="H1229" s="31">
        <v>1</v>
      </c>
      <c r="I1229" s="15">
        <f>IF(H1229&gt;0,HLOOKUP(R1229/100,数值规划表!$B$37:$AA$39,3),1)</f>
        <v>1.7999999999999998</v>
      </c>
      <c r="J1229" s="31" t="s">
        <v>1625</v>
      </c>
      <c r="K1229" s="15">
        <f>INDEX(数值规划表!$B$15:$B$18,MATCH(J1229,攻击范围,0))</f>
        <v>1</v>
      </c>
      <c r="L1229" s="70">
        <v>0.5</v>
      </c>
      <c r="M1229" s="70">
        <v>1</v>
      </c>
      <c r="N1229" s="15">
        <f t="shared" si="69"/>
        <v>127</v>
      </c>
      <c r="O1229" s="15">
        <f t="shared" si="70"/>
        <v>3.81</v>
      </c>
      <c r="P1229" s="15">
        <f>IF(G1229,INDEX(monster!$J$2:$J$681,MATCH(skill!C1229,monster!$A$2:$A$681,0)),Q1229)</f>
        <v>1.2</v>
      </c>
      <c r="R1229" s="81">
        <v>150</v>
      </c>
    </row>
    <row r="1230" spans="1:18" x14ac:dyDescent="0.15">
      <c r="A1230" s="53">
        <v>15370</v>
      </c>
      <c r="B1230" s="53" t="s">
        <v>3013</v>
      </c>
      <c r="C1230" s="31">
        <v>1136</v>
      </c>
      <c r="D1230" s="32">
        <v>9</v>
      </c>
      <c r="E1230" s="15">
        <f>INDEX(monster!$H$2:$H$681,MATCH(skill!C1230,monster!$A$2:$A$681,0))</f>
        <v>158.01</v>
      </c>
      <c r="F1230" s="15">
        <f>INDEX(monster!$I$2:$I$681,MATCH(C1230,monster!$A$2:$A$681,0))</f>
        <v>4.74</v>
      </c>
      <c r="G1230" s="70" t="b">
        <v>1</v>
      </c>
      <c r="H1230" s="31">
        <v>1</v>
      </c>
      <c r="I1230" s="15">
        <f>IF(H1230&gt;0,HLOOKUP(R1230/100,数值规划表!$B$37:$AA$39,3),1)</f>
        <v>1.7999999999999998</v>
      </c>
      <c r="J1230" s="31" t="s">
        <v>1625</v>
      </c>
      <c r="K1230" s="15">
        <f>INDEX(数值规划表!$B$15:$B$18,MATCH(J1230,攻击范围,0))</f>
        <v>1</v>
      </c>
      <c r="L1230" s="70">
        <v>0.5</v>
      </c>
      <c r="M1230" s="70">
        <v>1</v>
      </c>
      <c r="N1230" s="15">
        <f t="shared" si="69"/>
        <v>142</v>
      </c>
      <c r="O1230" s="15">
        <f t="shared" si="70"/>
        <v>4.2699999999999996</v>
      </c>
      <c r="P1230" s="15">
        <f>IF(G1230,INDEX(monster!$J$2:$J$681,MATCH(skill!C1230,monster!$A$2:$A$681,0)),Q1230)</f>
        <v>1.2</v>
      </c>
      <c r="R1230" s="81">
        <v>150</v>
      </c>
    </row>
    <row r="1231" spans="1:18" x14ac:dyDescent="0.15">
      <c r="A1231" s="53">
        <v>15371</v>
      </c>
      <c r="B1231" s="53" t="s">
        <v>3014</v>
      </c>
      <c r="C1231" s="31">
        <v>1137</v>
      </c>
      <c r="D1231" s="32">
        <v>10</v>
      </c>
      <c r="E1231" s="15">
        <f>INDEX(monster!$H$2:$H$681,MATCH(skill!C1231,monster!$A$2:$A$681,0))</f>
        <v>176.97</v>
      </c>
      <c r="F1231" s="15">
        <f>INDEX(monster!$I$2:$I$681,MATCH(C1231,monster!$A$2:$A$681,0))</f>
        <v>5.31</v>
      </c>
      <c r="G1231" s="70" t="b">
        <v>1</v>
      </c>
      <c r="H1231" s="31">
        <v>1</v>
      </c>
      <c r="I1231" s="15">
        <f>IF(H1231&gt;0,HLOOKUP(R1231/100,数值规划表!$B$37:$AA$39,3),1)</f>
        <v>1.7999999999999998</v>
      </c>
      <c r="J1231" s="31" t="s">
        <v>1625</v>
      </c>
      <c r="K1231" s="15">
        <f>INDEX(数值规划表!$B$15:$B$18,MATCH(J1231,攻击范围,0))</f>
        <v>1</v>
      </c>
      <c r="L1231" s="70">
        <v>0.5</v>
      </c>
      <c r="M1231" s="70">
        <v>1</v>
      </c>
      <c r="N1231" s="15">
        <f t="shared" si="69"/>
        <v>159</v>
      </c>
      <c r="O1231" s="15">
        <f t="shared" si="70"/>
        <v>4.78</v>
      </c>
      <c r="P1231" s="15">
        <f>IF(G1231,INDEX(monster!$J$2:$J$681,MATCH(skill!C1231,monster!$A$2:$A$681,0)),Q1231)</f>
        <v>1.2</v>
      </c>
      <c r="R1231" s="81">
        <v>150</v>
      </c>
    </row>
    <row r="1232" spans="1:18" x14ac:dyDescent="0.15">
      <c r="A1232" s="53">
        <v>15372</v>
      </c>
      <c r="B1232" s="53" t="s">
        <v>3026</v>
      </c>
      <c r="C1232" s="31">
        <v>1239</v>
      </c>
      <c r="D1232" s="32">
        <v>0</v>
      </c>
      <c r="E1232" s="15">
        <f>INDEX(monster!$H$2:$H$681,MATCH(skill!C1232,monster!$A$2:$A$681,0))</f>
        <v>30.51</v>
      </c>
      <c r="F1232" s="15">
        <f>INDEX(monster!$I$2:$I$681,MATCH(C1232,monster!$A$2:$A$681,0))</f>
        <v>0.92</v>
      </c>
      <c r="G1232" s="70" t="b">
        <v>1</v>
      </c>
      <c r="H1232" s="31">
        <v>1</v>
      </c>
      <c r="I1232" s="15">
        <f>IF(H1232&gt;0,HLOOKUP(R1232/100,数值规划表!$B$37:$AA$39,3),1)</f>
        <v>1.7999999999999998</v>
      </c>
      <c r="J1232" s="31" t="s">
        <v>1625</v>
      </c>
      <c r="K1232" s="15">
        <f>INDEX(数值规划表!$B$15:$B$18,MATCH(J1232,攻击范围,0))</f>
        <v>1</v>
      </c>
      <c r="L1232" s="70">
        <v>0.5</v>
      </c>
      <c r="M1232" s="70">
        <v>1</v>
      </c>
      <c r="N1232" s="15">
        <f t="shared" ref="N1232:N1242" si="71">ROUND(E1232*I1232*K1232*L1232,0)</f>
        <v>27</v>
      </c>
      <c r="O1232" s="15">
        <f t="shared" ref="O1232:O1242" si="72">ROUND(F1232*I1232*K1232*L1232,2)</f>
        <v>0.83</v>
      </c>
      <c r="P1232" s="15">
        <f>IF(G1232,INDEX(monster!$J$2:$J$681,MATCH(skill!C1232,monster!$A$2:$A$681,0)),Q1232)</f>
        <v>1.2</v>
      </c>
      <c r="R1232" s="81">
        <v>150</v>
      </c>
    </row>
    <row r="1233" spans="1:18" x14ac:dyDescent="0.15">
      <c r="A1233" s="53">
        <v>15373</v>
      </c>
      <c r="B1233" s="53" t="s">
        <v>3027</v>
      </c>
      <c r="C1233" s="31">
        <v>1240</v>
      </c>
      <c r="D1233" s="32">
        <v>1</v>
      </c>
      <c r="E1233" s="15">
        <f>INDEX(monster!$H$2:$H$681,MATCH(skill!C1233,monster!$A$2:$A$681,0))</f>
        <v>34.17</v>
      </c>
      <c r="F1233" s="15">
        <f>INDEX(monster!$I$2:$I$681,MATCH(C1233,monster!$A$2:$A$681,0))</f>
        <v>1.03</v>
      </c>
      <c r="G1233" s="70" t="b">
        <v>1</v>
      </c>
      <c r="H1233" s="31">
        <v>1</v>
      </c>
      <c r="I1233" s="15">
        <f>IF(H1233&gt;0,HLOOKUP(R1233/100,数值规划表!$B$37:$AA$39,3),1)</f>
        <v>1.7999999999999998</v>
      </c>
      <c r="J1233" s="31" t="s">
        <v>1625</v>
      </c>
      <c r="K1233" s="15">
        <f>INDEX(数值规划表!$B$15:$B$18,MATCH(J1233,攻击范围,0))</f>
        <v>1</v>
      </c>
      <c r="L1233" s="70">
        <v>0.5</v>
      </c>
      <c r="M1233" s="70">
        <v>1</v>
      </c>
      <c r="N1233" s="15">
        <f t="shared" si="71"/>
        <v>31</v>
      </c>
      <c r="O1233" s="15">
        <f t="shared" si="72"/>
        <v>0.93</v>
      </c>
      <c r="P1233" s="15">
        <f>IF(G1233,INDEX(monster!$J$2:$J$681,MATCH(skill!C1233,monster!$A$2:$A$681,0)),Q1233)</f>
        <v>1.2</v>
      </c>
      <c r="R1233" s="81">
        <v>150</v>
      </c>
    </row>
    <row r="1234" spans="1:18" x14ac:dyDescent="0.15">
      <c r="A1234" s="53">
        <v>15374</v>
      </c>
      <c r="B1234" s="53" t="s">
        <v>3028</v>
      </c>
      <c r="C1234" s="31">
        <v>1241</v>
      </c>
      <c r="D1234" s="32">
        <v>2</v>
      </c>
      <c r="E1234" s="15">
        <f>INDEX(monster!$H$2:$H$681,MATCH(skill!C1234,monster!$A$2:$A$681,0))</f>
        <v>38.270000000000003</v>
      </c>
      <c r="F1234" s="15">
        <f>INDEX(monster!$I$2:$I$681,MATCH(C1234,monster!$A$2:$A$681,0))</f>
        <v>1.1499999999999999</v>
      </c>
      <c r="G1234" s="70" t="b">
        <v>1</v>
      </c>
      <c r="H1234" s="31">
        <v>1</v>
      </c>
      <c r="I1234" s="15">
        <f>IF(H1234&gt;0,HLOOKUP(R1234/100,数值规划表!$B$37:$AA$39,3),1)</f>
        <v>1.7999999999999998</v>
      </c>
      <c r="J1234" s="31" t="s">
        <v>1625</v>
      </c>
      <c r="K1234" s="15">
        <f>INDEX(数值规划表!$B$15:$B$18,MATCH(J1234,攻击范围,0))</f>
        <v>1</v>
      </c>
      <c r="L1234" s="70">
        <v>0.5</v>
      </c>
      <c r="M1234" s="70">
        <v>1</v>
      </c>
      <c r="N1234" s="15">
        <f t="shared" si="71"/>
        <v>34</v>
      </c>
      <c r="O1234" s="15">
        <f t="shared" si="72"/>
        <v>1.04</v>
      </c>
      <c r="P1234" s="15">
        <f>IF(G1234,INDEX(monster!$J$2:$J$681,MATCH(skill!C1234,monster!$A$2:$A$681,0)),Q1234)</f>
        <v>1.2</v>
      </c>
      <c r="R1234" s="81">
        <v>150</v>
      </c>
    </row>
    <row r="1235" spans="1:18" x14ac:dyDescent="0.15">
      <c r="A1235" s="53">
        <v>15375</v>
      </c>
      <c r="B1235" s="53" t="s">
        <v>3029</v>
      </c>
      <c r="C1235" s="31">
        <v>1242</v>
      </c>
      <c r="D1235" s="32">
        <v>3</v>
      </c>
      <c r="E1235" s="15">
        <f>INDEX(monster!$H$2:$H$681,MATCH(skill!C1235,monster!$A$2:$A$681,0))</f>
        <v>42.86</v>
      </c>
      <c r="F1235" s="15">
        <f>INDEX(monster!$I$2:$I$681,MATCH(C1235,monster!$A$2:$A$681,0))</f>
        <v>1.29</v>
      </c>
      <c r="G1235" s="70" t="b">
        <v>1</v>
      </c>
      <c r="H1235" s="31">
        <v>1</v>
      </c>
      <c r="I1235" s="15">
        <f>IF(H1235&gt;0,HLOOKUP(R1235/100,数值规划表!$B$37:$AA$39,3),1)</f>
        <v>1.7999999999999998</v>
      </c>
      <c r="J1235" s="31" t="s">
        <v>1625</v>
      </c>
      <c r="K1235" s="15">
        <f>INDEX(数值规划表!$B$15:$B$18,MATCH(J1235,攻击范围,0))</f>
        <v>1</v>
      </c>
      <c r="L1235" s="70">
        <v>0.5</v>
      </c>
      <c r="M1235" s="70">
        <v>1</v>
      </c>
      <c r="N1235" s="15">
        <f t="shared" si="71"/>
        <v>39</v>
      </c>
      <c r="O1235" s="15">
        <f t="shared" si="72"/>
        <v>1.1599999999999999</v>
      </c>
      <c r="P1235" s="15">
        <f>IF(G1235,INDEX(monster!$J$2:$J$681,MATCH(skill!C1235,monster!$A$2:$A$681,0)),Q1235)</f>
        <v>1.2</v>
      </c>
      <c r="R1235" s="81">
        <v>150</v>
      </c>
    </row>
    <row r="1236" spans="1:18" x14ac:dyDescent="0.15">
      <c r="A1236" s="53">
        <v>15376</v>
      </c>
      <c r="B1236" s="53" t="s">
        <v>3030</v>
      </c>
      <c r="C1236" s="31">
        <v>1243</v>
      </c>
      <c r="D1236" s="32">
        <v>4</v>
      </c>
      <c r="E1236" s="15">
        <f>INDEX(monster!$H$2:$H$681,MATCH(skill!C1236,monster!$A$2:$A$681,0))</f>
        <v>48.01</v>
      </c>
      <c r="F1236" s="15">
        <f>INDEX(monster!$I$2:$I$681,MATCH(C1236,monster!$A$2:$A$681,0))</f>
        <v>1.44</v>
      </c>
      <c r="G1236" s="70" t="b">
        <v>1</v>
      </c>
      <c r="H1236" s="31">
        <v>1</v>
      </c>
      <c r="I1236" s="15">
        <f>IF(H1236&gt;0,HLOOKUP(R1236/100,数值规划表!$B$37:$AA$39,3),1)</f>
        <v>1.7999999999999998</v>
      </c>
      <c r="J1236" s="31" t="s">
        <v>1625</v>
      </c>
      <c r="K1236" s="15">
        <f>INDEX(数值规划表!$B$15:$B$18,MATCH(J1236,攻击范围,0))</f>
        <v>1</v>
      </c>
      <c r="L1236" s="70">
        <v>0.5</v>
      </c>
      <c r="M1236" s="70">
        <v>1</v>
      </c>
      <c r="N1236" s="15">
        <f t="shared" si="71"/>
        <v>43</v>
      </c>
      <c r="O1236" s="15">
        <f t="shared" si="72"/>
        <v>1.3</v>
      </c>
      <c r="P1236" s="15">
        <f>IF(G1236,INDEX(monster!$J$2:$J$681,MATCH(skill!C1236,monster!$A$2:$A$681,0)),Q1236)</f>
        <v>1.2</v>
      </c>
      <c r="R1236" s="81">
        <v>150</v>
      </c>
    </row>
    <row r="1237" spans="1:18" x14ac:dyDescent="0.15">
      <c r="A1237" s="53">
        <v>15377</v>
      </c>
      <c r="B1237" s="53" t="s">
        <v>3031</v>
      </c>
      <c r="C1237" s="31">
        <v>1244</v>
      </c>
      <c r="D1237" s="32">
        <v>5</v>
      </c>
      <c r="E1237" s="15">
        <f>INDEX(monster!$H$2:$H$681,MATCH(skill!C1237,monster!$A$2:$A$681,0))</f>
        <v>53.77</v>
      </c>
      <c r="F1237" s="15">
        <f>INDEX(monster!$I$2:$I$681,MATCH(C1237,monster!$A$2:$A$681,0))</f>
        <v>1.61</v>
      </c>
      <c r="G1237" s="70" t="b">
        <v>1</v>
      </c>
      <c r="H1237" s="31">
        <v>1</v>
      </c>
      <c r="I1237" s="15">
        <f>IF(H1237&gt;0,HLOOKUP(R1237/100,数值规划表!$B$37:$AA$39,3),1)</f>
        <v>1.7999999999999998</v>
      </c>
      <c r="J1237" s="31" t="s">
        <v>1625</v>
      </c>
      <c r="K1237" s="15">
        <f>INDEX(数值规划表!$B$15:$B$18,MATCH(J1237,攻击范围,0))</f>
        <v>1</v>
      </c>
      <c r="L1237" s="70">
        <v>0.5</v>
      </c>
      <c r="M1237" s="70">
        <v>1</v>
      </c>
      <c r="N1237" s="15">
        <f t="shared" si="71"/>
        <v>48</v>
      </c>
      <c r="O1237" s="15">
        <f t="shared" si="72"/>
        <v>1.45</v>
      </c>
      <c r="P1237" s="15">
        <f>IF(G1237,INDEX(monster!$J$2:$J$681,MATCH(skill!C1237,monster!$A$2:$A$681,0)),Q1237)</f>
        <v>1.2</v>
      </c>
      <c r="R1237" s="81">
        <v>150</v>
      </c>
    </row>
    <row r="1238" spans="1:18" x14ac:dyDescent="0.15">
      <c r="A1238" s="53">
        <v>15378</v>
      </c>
      <c r="B1238" s="53" t="s">
        <v>3032</v>
      </c>
      <c r="C1238" s="31">
        <v>1245</v>
      </c>
      <c r="D1238" s="32">
        <v>6</v>
      </c>
      <c r="E1238" s="15">
        <f>INDEX(monster!$H$2:$H$681,MATCH(skill!C1238,monster!$A$2:$A$681,0))</f>
        <v>60.22</v>
      </c>
      <c r="F1238" s="15">
        <f>INDEX(monster!$I$2:$I$681,MATCH(C1238,monster!$A$2:$A$681,0))</f>
        <v>1.81</v>
      </c>
      <c r="G1238" s="70" t="b">
        <v>1</v>
      </c>
      <c r="H1238" s="31">
        <v>1</v>
      </c>
      <c r="I1238" s="15">
        <f>IF(H1238&gt;0,HLOOKUP(R1238/100,数值规划表!$B$37:$AA$39,3),1)</f>
        <v>1.7999999999999998</v>
      </c>
      <c r="J1238" s="31" t="s">
        <v>1625</v>
      </c>
      <c r="K1238" s="15">
        <f>INDEX(数值规划表!$B$15:$B$18,MATCH(J1238,攻击范围,0))</f>
        <v>1</v>
      </c>
      <c r="L1238" s="70">
        <v>0.5</v>
      </c>
      <c r="M1238" s="70">
        <v>1</v>
      </c>
      <c r="N1238" s="15">
        <f t="shared" si="71"/>
        <v>54</v>
      </c>
      <c r="O1238" s="15">
        <f t="shared" si="72"/>
        <v>1.63</v>
      </c>
      <c r="P1238" s="15">
        <f>IF(G1238,INDEX(monster!$J$2:$J$681,MATCH(skill!C1238,monster!$A$2:$A$681,0)),Q1238)</f>
        <v>1.2</v>
      </c>
      <c r="R1238" s="81">
        <v>150</v>
      </c>
    </row>
    <row r="1239" spans="1:18" x14ac:dyDescent="0.15">
      <c r="A1239" s="53">
        <v>15379</v>
      </c>
      <c r="B1239" s="53" t="s">
        <v>3033</v>
      </c>
      <c r="C1239" s="31">
        <v>1246</v>
      </c>
      <c r="D1239" s="32">
        <v>7</v>
      </c>
      <c r="E1239" s="15">
        <f>INDEX(monster!$H$2:$H$681,MATCH(skill!C1239,monster!$A$2:$A$681,0))</f>
        <v>67.45</v>
      </c>
      <c r="F1239" s="15">
        <f>INDEX(monster!$I$2:$I$681,MATCH(C1239,monster!$A$2:$A$681,0))</f>
        <v>2.02</v>
      </c>
      <c r="G1239" s="70" t="b">
        <v>1</v>
      </c>
      <c r="H1239" s="31">
        <v>1</v>
      </c>
      <c r="I1239" s="15">
        <f>IF(H1239&gt;0,HLOOKUP(R1239/100,数值规划表!$B$37:$AA$39,3),1)</f>
        <v>1.7999999999999998</v>
      </c>
      <c r="J1239" s="31" t="s">
        <v>1625</v>
      </c>
      <c r="K1239" s="15">
        <f>INDEX(数值规划表!$B$15:$B$18,MATCH(J1239,攻击范围,0))</f>
        <v>1</v>
      </c>
      <c r="L1239" s="70">
        <v>0.5</v>
      </c>
      <c r="M1239" s="70">
        <v>1</v>
      </c>
      <c r="N1239" s="15">
        <f t="shared" si="71"/>
        <v>61</v>
      </c>
      <c r="O1239" s="15">
        <f t="shared" si="72"/>
        <v>1.82</v>
      </c>
      <c r="P1239" s="15">
        <f>IF(G1239,INDEX(monster!$J$2:$J$681,MATCH(skill!C1239,monster!$A$2:$A$681,0)),Q1239)</f>
        <v>1.2</v>
      </c>
      <c r="R1239" s="81">
        <v>150</v>
      </c>
    </row>
    <row r="1240" spans="1:18" x14ac:dyDescent="0.15">
      <c r="A1240" s="53">
        <v>15380</v>
      </c>
      <c r="B1240" s="53" t="s">
        <v>3034</v>
      </c>
      <c r="C1240" s="31">
        <v>1247</v>
      </c>
      <c r="D1240" s="32">
        <v>8</v>
      </c>
      <c r="E1240" s="15">
        <f>INDEX(monster!$H$2:$H$681,MATCH(skill!C1240,monster!$A$2:$A$681,0))</f>
        <v>75.540000000000006</v>
      </c>
      <c r="F1240" s="15">
        <f>INDEX(monster!$I$2:$I$681,MATCH(C1240,monster!$A$2:$A$681,0))</f>
        <v>2.27</v>
      </c>
      <c r="G1240" s="70" t="b">
        <v>1</v>
      </c>
      <c r="H1240" s="31">
        <v>1</v>
      </c>
      <c r="I1240" s="15">
        <f>IF(H1240&gt;0,HLOOKUP(R1240/100,数值规划表!$B$37:$AA$39,3),1)</f>
        <v>1.7999999999999998</v>
      </c>
      <c r="J1240" s="31" t="s">
        <v>1625</v>
      </c>
      <c r="K1240" s="15">
        <f>INDEX(数值规划表!$B$15:$B$18,MATCH(J1240,攻击范围,0))</f>
        <v>1</v>
      </c>
      <c r="L1240" s="70">
        <v>0.5</v>
      </c>
      <c r="M1240" s="70">
        <v>1</v>
      </c>
      <c r="N1240" s="15">
        <f t="shared" si="71"/>
        <v>68</v>
      </c>
      <c r="O1240" s="15">
        <f t="shared" si="72"/>
        <v>2.04</v>
      </c>
      <c r="P1240" s="15">
        <f>IF(G1240,INDEX(monster!$J$2:$J$681,MATCH(skill!C1240,monster!$A$2:$A$681,0)),Q1240)</f>
        <v>1.2</v>
      </c>
      <c r="R1240" s="81">
        <v>150</v>
      </c>
    </row>
    <row r="1241" spans="1:18" x14ac:dyDescent="0.15">
      <c r="A1241" s="53">
        <v>15381</v>
      </c>
      <c r="B1241" s="53" t="s">
        <v>3035</v>
      </c>
      <c r="C1241" s="31">
        <v>1248</v>
      </c>
      <c r="D1241" s="32">
        <v>9</v>
      </c>
      <c r="E1241" s="15">
        <f>INDEX(monster!$H$2:$H$681,MATCH(skill!C1241,monster!$A$2:$A$681,0))</f>
        <v>84.61</v>
      </c>
      <c r="F1241" s="15">
        <f>INDEX(monster!$I$2:$I$681,MATCH(C1241,monster!$A$2:$A$681,0))</f>
        <v>2.54</v>
      </c>
      <c r="G1241" s="70" t="b">
        <v>1</v>
      </c>
      <c r="H1241" s="31">
        <v>1</v>
      </c>
      <c r="I1241" s="15">
        <f>IF(H1241&gt;0,HLOOKUP(R1241/100,数值规划表!$B$37:$AA$39,3),1)</f>
        <v>1.7999999999999998</v>
      </c>
      <c r="J1241" s="31" t="s">
        <v>1625</v>
      </c>
      <c r="K1241" s="15">
        <f>INDEX(数值规划表!$B$15:$B$18,MATCH(J1241,攻击范围,0))</f>
        <v>1</v>
      </c>
      <c r="L1241" s="70">
        <v>0.5</v>
      </c>
      <c r="M1241" s="70">
        <v>1</v>
      </c>
      <c r="N1241" s="15">
        <f t="shared" si="71"/>
        <v>76</v>
      </c>
      <c r="O1241" s="15">
        <f t="shared" si="72"/>
        <v>2.29</v>
      </c>
      <c r="P1241" s="15">
        <f>IF(G1241,INDEX(monster!$J$2:$J$681,MATCH(skill!C1241,monster!$A$2:$A$681,0)),Q1241)</f>
        <v>1.2</v>
      </c>
      <c r="R1241" s="81">
        <v>150</v>
      </c>
    </row>
    <row r="1242" spans="1:18" x14ac:dyDescent="0.15">
      <c r="A1242" s="53">
        <v>15382</v>
      </c>
      <c r="B1242" s="53" t="s">
        <v>3036</v>
      </c>
      <c r="C1242" s="31">
        <v>1249</v>
      </c>
      <c r="D1242" s="32">
        <v>10</v>
      </c>
      <c r="E1242" s="15">
        <f>INDEX(monster!$H$2:$H$681,MATCH(skill!C1242,monster!$A$2:$A$681,0))</f>
        <v>94.76</v>
      </c>
      <c r="F1242" s="15">
        <f>INDEX(monster!$I$2:$I$681,MATCH(C1242,monster!$A$2:$A$681,0))</f>
        <v>2.84</v>
      </c>
      <c r="G1242" s="70" t="b">
        <v>1</v>
      </c>
      <c r="H1242" s="31">
        <v>1</v>
      </c>
      <c r="I1242" s="15">
        <f>IF(H1242&gt;0,HLOOKUP(R1242/100,数值规划表!$B$37:$AA$39,3),1)</f>
        <v>1.7999999999999998</v>
      </c>
      <c r="J1242" s="31" t="s">
        <v>1625</v>
      </c>
      <c r="K1242" s="15">
        <f>INDEX(数值规划表!$B$15:$B$18,MATCH(J1242,攻击范围,0))</f>
        <v>1</v>
      </c>
      <c r="L1242" s="70">
        <v>0.5</v>
      </c>
      <c r="M1242" s="70">
        <v>1</v>
      </c>
      <c r="N1242" s="15">
        <f t="shared" si="71"/>
        <v>85</v>
      </c>
      <c r="O1242" s="15">
        <f t="shared" si="72"/>
        <v>2.56</v>
      </c>
      <c r="P1242" s="15">
        <f>IF(G1242,INDEX(monster!$J$2:$J$681,MATCH(skill!C1242,monster!$A$2:$A$681,0)),Q1242)</f>
        <v>1.2</v>
      </c>
      <c r="R1242" s="81">
        <v>150</v>
      </c>
    </row>
  </sheetData>
  <autoFilter ref="A1:R1068"/>
  <phoneticPr fontId="5" type="noConversion"/>
  <dataValidations count="1">
    <dataValidation type="list" allowBlank="1" showInputMessage="1" showErrorMessage="1" sqref="J2:J1242">
      <formula1>攻击范围</formula1>
    </dataValidation>
  </dataValidations>
  <pageMargins left="0.7" right="0.7" top="0.75" bottom="0.75" header="0.3" footer="0.3"/>
  <pageSetup paperSize="9" orientation="portrait" horizontalDpi="200" verticalDpi="200"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16"/>
  <sheetViews>
    <sheetView workbookViewId="0">
      <pane ySplit="1" topLeftCell="A83" activePane="bottomLeft" state="frozen"/>
      <selection pane="bottomLeft" activeCell="C101" sqref="C101"/>
    </sheetView>
  </sheetViews>
  <sheetFormatPr defaultRowHeight="13.5" x14ac:dyDescent="0.15"/>
  <cols>
    <col min="1" max="1" width="9" style="41"/>
    <col min="2" max="2" width="22.375" style="41" customWidth="1"/>
    <col min="3" max="4" width="13.25" style="41" customWidth="1"/>
    <col min="5" max="16384" width="9" style="41"/>
  </cols>
  <sheetData>
    <row r="1" spans="1:4" x14ac:dyDescent="0.15">
      <c r="A1" s="24" t="s">
        <v>1756</v>
      </c>
      <c r="B1" s="24" t="s">
        <v>1633</v>
      </c>
      <c r="C1" s="24" t="s">
        <v>1757</v>
      </c>
      <c r="D1" s="24" t="s">
        <v>1758</v>
      </c>
    </row>
    <row r="2" spans="1:4" x14ac:dyDescent="0.15">
      <c r="A2" s="41">
        <v>161</v>
      </c>
      <c r="B2" s="41" t="s">
        <v>1634</v>
      </c>
      <c r="C2" s="15">
        <f>skill!N178</f>
        <v>11</v>
      </c>
      <c r="D2" s="15">
        <f>skill!O178</f>
        <v>0.33</v>
      </c>
    </row>
    <row r="3" spans="1:4" x14ac:dyDescent="0.15">
      <c r="A3" s="41">
        <v>162</v>
      </c>
      <c r="B3" s="41" t="s">
        <v>1635</v>
      </c>
      <c r="C3" s="15">
        <f>skill!N179</f>
        <v>12</v>
      </c>
      <c r="D3" s="15">
        <f>skill!O179</f>
        <v>0.36</v>
      </c>
    </row>
    <row r="4" spans="1:4" x14ac:dyDescent="0.15">
      <c r="A4" s="41">
        <v>163</v>
      </c>
      <c r="B4" s="41" t="s">
        <v>1636</v>
      </c>
      <c r="C4" s="15">
        <f>skill!N180</f>
        <v>14</v>
      </c>
      <c r="D4" s="15">
        <f>skill!O180</f>
        <v>0.41</v>
      </c>
    </row>
    <row r="5" spans="1:4" x14ac:dyDescent="0.15">
      <c r="A5" s="41">
        <v>164</v>
      </c>
      <c r="B5" s="41" t="s">
        <v>1637</v>
      </c>
      <c r="C5" s="15">
        <f>skill!N181</f>
        <v>15</v>
      </c>
      <c r="D5" s="15">
        <f>skill!O181</f>
        <v>0.46</v>
      </c>
    </row>
    <row r="6" spans="1:4" x14ac:dyDescent="0.15">
      <c r="A6" s="41">
        <v>165</v>
      </c>
      <c r="B6" s="41" t="s">
        <v>1638</v>
      </c>
      <c r="C6" s="15">
        <f>skill!N182</f>
        <v>17</v>
      </c>
      <c r="D6" s="15">
        <f>skill!O182</f>
        <v>0.51</v>
      </c>
    </row>
    <row r="7" spans="1:4" x14ac:dyDescent="0.15">
      <c r="A7" s="41">
        <v>166</v>
      </c>
      <c r="B7" s="41" t="s">
        <v>1639</v>
      </c>
      <c r="C7" s="15">
        <f>skill!N183</f>
        <v>19</v>
      </c>
      <c r="D7" s="15">
        <f>skill!O183</f>
        <v>0.56999999999999995</v>
      </c>
    </row>
    <row r="8" spans="1:4" x14ac:dyDescent="0.15">
      <c r="A8" s="41">
        <v>167</v>
      </c>
      <c r="B8" s="41" t="s">
        <v>1640</v>
      </c>
      <c r="C8" s="15">
        <f>skill!N184</f>
        <v>21</v>
      </c>
      <c r="D8" s="15">
        <f>skill!O184</f>
        <v>0.64</v>
      </c>
    </row>
    <row r="9" spans="1:4" x14ac:dyDescent="0.15">
      <c r="A9" s="41">
        <v>168</v>
      </c>
      <c r="B9" s="41" t="s">
        <v>1641</v>
      </c>
      <c r="C9" s="15">
        <f>skill!N185</f>
        <v>24</v>
      </c>
      <c r="D9" s="15">
        <f>skill!O185</f>
        <v>0.72</v>
      </c>
    </row>
    <row r="10" spans="1:4" x14ac:dyDescent="0.15">
      <c r="A10" s="41">
        <v>169</v>
      </c>
      <c r="B10" s="41" t="s">
        <v>1642</v>
      </c>
      <c r="C10" s="15">
        <f>skill!N186</f>
        <v>27</v>
      </c>
      <c r="D10" s="15">
        <f>skill!O186</f>
        <v>0.8</v>
      </c>
    </row>
    <row r="11" spans="1:4" x14ac:dyDescent="0.15">
      <c r="A11" s="41">
        <v>170</v>
      </c>
      <c r="B11" s="41" t="s">
        <v>1643</v>
      </c>
      <c r="C11" s="15">
        <f>skill!N187</f>
        <v>30</v>
      </c>
      <c r="D11" s="15">
        <f>skill!O187</f>
        <v>0.9</v>
      </c>
    </row>
    <row r="12" spans="1:4" x14ac:dyDescent="0.15">
      <c r="A12" s="41">
        <v>171</v>
      </c>
      <c r="B12" s="41" t="s">
        <v>1644</v>
      </c>
      <c r="C12" s="15">
        <f>skill!N188</f>
        <v>34</v>
      </c>
      <c r="D12" s="15">
        <f>skill!O188</f>
        <v>1.01</v>
      </c>
    </row>
    <row r="13" spans="1:4" x14ac:dyDescent="0.15">
      <c r="A13" s="41">
        <v>172</v>
      </c>
      <c r="B13" s="41" t="s">
        <v>1645</v>
      </c>
      <c r="C13" s="15">
        <f>skill!N79</f>
        <v>21</v>
      </c>
      <c r="D13" s="15">
        <f>skill!O79</f>
        <v>0.64</v>
      </c>
    </row>
    <row r="14" spans="1:4" x14ac:dyDescent="0.15">
      <c r="A14" s="41">
        <v>173</v>
      </c>
      <c r="B14" s="41" t="s">
        <v>719</v>
      </c>
      <c r="C14" s="15">
        <f>skill!N80</f>
        <v>24</v>
      </c>
      <c r="D14" s="15">
        <f>skill!O80</f>
        <v>0.72</v>
      </c>
    </row>
    <row r="15" spans="1:4" x14ac:dyDescent="0.15">
      <c r="A15" s="41">
        <v>174</v>
      </c>
      <c r="B15" s="41" t="s">
        <v>720</v>
      </c>
      <c r="C15" s="15">
        <f>skill!N81</f>
        <v>27</v>
      </c>
      <c r="D15" s="15">
        <f>skill!O81</f>
        <v>0.8</v>
      </c>
    </row>
    <row r="16" spans="1:4" x14ac:dyDescent="0.15">
      <c r="A16" s="41">
        <v>175</v>
      </c>
      <c r="B16" s="41" t="s">
        <v>721</v>
      </c>
      <c r="C16" s="15">
        <f>skill!N82</f>
        <v>30</v>
      </c>
      <c r="D16" s="15">
        <f>skill!O82</f>
        <v>0.9</v>
      </c>
    </row>
    <row r="17" spans="1:4" x14ac:dyDescent="0.15">
      <c r="A17" s="41">
        <v>176</v>
      </c>
      <c r="B17" s="41" t="s">
        <v>722</v>
      </c>
      <c r="C17" s="15">
        <f>skill!N83</f>
        <v>33</v>
      </c>
      <c r="D17" s="15">
        <f>skill!O83</f>
        <v>1</v>
      </c>
    </row>
    <row r="18" spans="1:4" x14ac:dyDescent="0.15">
      <c r="A18" s="41">
        <v>177</v>
      </c>
      <c r="B18" s="41" t="s">
        <v>723</v>
      </c>
      <c r="C18" s="15">
        <f>skill!N84</f>
        <v>37</v>
      </c>
      <c r="D18" s="15">
        <f>skill!O84</f>
        <v>1.1299999999999999</v>
      </c>
    </row>
    <row r="19" spans="1:4" x14ac:dyDescent="0.15">
      <c r="A19" s="41">
        <v>178</v>
      </c>
      <c r="B19" s="41" t="s">
        <v>724</v>
      </c>
      <c r="C19" s="15">
        <f>skill!N85</f>
        <v>42</v>
      </c>
      <c r="D19" s="15">
        <f>skill!O85</f>
        <v>1.26</v>
      </c>
    </row>
    <row r="20" spans="1:4" x14ac:dyDescent="0.15">
      <c r="A20" s="41">
        <v>179</v>
      </c>
      <c r="B20" s="41" t="s">
        <v>725</v>
      </c>
      <c r="C20" s="15">
        <f>skill!N86</f>
        <v>47</v>
      </c>
      <c r="D20" s="15">
        <f>skill!O86</f>
        <v>1.41</v>
      </c>
    </row>
    <row r="21" spans="1:4" x14ac:dyDescent="0.15">
      <c r="A21" s="41">
        <v>180</v>
      </c>
      <c r="B21" s="41" t="s">
        <v>726</v>
      </c>
      <c r="C21" s="15">
        <f>skill!N87</f>
        <v>53</v>
      </c>
      <c r="D21" s="15">
        <f>skill!O87</f>
        <v>1.58</v>
      </c>
    </row>
    <row r="22" spans="1:4" x14ac:dyDescent="0.15">
      <c r="A22" s="41">
        <v>181</v>
      </c>
      <c r="B22" s="41" t="s">
        <v>727</v>
      </c>
      <c r="C22" s="15">
        <f>skill!N88</f>
        <v>59</v>
      </c>
      <c r="D22" s="15">
        <f>skill!O88</f>
        <v>1.77</v>
      </c>
    </row>
    <row r="23" spans="1:4" x14ac:dyDescent="0.15">
      <c r="A23" s="41">
        <v>182</v>
      </c>
      <c r="B23" s="41" t="s">
        <v>728</v>
      </c>
      <c r="C23" s="15">
        <f>skill!N89</f>
        <v>66</v>
      </c>
      <c r="D23" s="15">
        <f>skill!O89</f>
        <v>1.98</v>
      </c>
    </row>
    <row r="24" spans="1:4" x14ac:dyDescent="0.15">
      <c r="A24" s="41">
        <v>183</v>
      </c>
      <c r="B24" s="41" t="s">
        <v>1646</v>
      </c>
      <c r="C24" s="15">
        <f>skill!N332</f>
        <v>22</v>
      </c>
      <c r="D24" s="15">
        <f>skill!O332</f>
        <v>0.65</v>
      </c>
    </row>
    <row r="25" spans="1:4" x14ac:dyDescent="0.15">
      <c r="A25" s="41">
        <v>184</v>
      </c>
      <c r="B25" s="41" t="s">
        <v>1647</v>
      </c>
      <c r="C25" s="15">
        <f>skill!N333</f>
        <v>24</v>
      </c>
      <c r="D25" s="15">
        <f>skill!O333</f>
        <v>0.73</v>
      </c>
    </row>
    <row r="26" spans="1:4" x14ac:dyDescent="0.15">
      <c r="A26" s="41">
        <v>185</v>
      </c>
      <c r="B26" s="41" t="s">
        <v>1648</v>
      </c>
      <c r="C26" s="15">
        <f>skill!N334</f>
        <v>27</v>
      </c>
      <c r="D26" s="15">
        <f>skill!O334</f>
        <v>0.82</v>
      </c>
    </row>
    <row r="27" spans="1:4" x14ac:dyDescent="0.15">
      <c r="A27" s="41">
        <v>186</v>
      </c>
      <c r="B27" s="41" t="s">
        <v>1649</v>
      </c>
      <c r="C27" s="15">
        <f>skill!N335</f>
        <v>30</v>
      </c>
      <c r="D27" s="15">
        <f>skill!O335</f>
        <v>0.91</v>
      </c>
    </row>
    <row r="28" spans="1:4" x14ac:dyDescent="0.15">
      <c r="A28" s="41">
        <v>187</v>
      </c>
      <c r="B28" s="41" t="s">
        <v>1650</v>
      </c>
      <c r="C28" s="15">
        <f>skill!N336</f>
        <v>34</v>
      </c>
      <c r="D28" s="15">
        <f>skill!O336</f>
        <v>1.02</v>
      </c>
    </row>
    <row r="29" spans="1:4" x14ac:dyDescent="0.15">
      <c r="A29" s="41">
        <v>188</v>
      </c>
      <c r="B29" s="41" t="s">
        <v>1651</v>
      </c>
      <c r="C29" s="15">
        <f>skill!N337</f>
        <v>38</v>
      </c>
      <c r="D29" s="15">
        <f>skill!O337</f>
        <v>1.1499999999999999</v>
      </c>
    </row>
    <row r="30" spans="1:4" x14ac:dyDescent="0.15">
      <c r="A30" s="41">
        <v>189</v>
      </c>
      <c r="B30" s="41" t="s">
        <v>1652</v>
      </c>
      <c r="C30" s="15">
        <f>skill!N338</f>
        <v>43</v>
      </c>
      <c r="D30" s="15">
        <f>skill!O338</f>
        <v>1.28</v>
      </c>
    </row>
    <row r="31" spans="1:4" x14ac:dyDescent="0.15">
      <c r="A31" s="41">
        <v>190</v>
      </c>
      <c r="B31" s="41" t="s">
        <v>1653</v>
      </c>
      <c r="C31" s="15">
        <f>skill!N339</f>
        <v>48</v>
      </c>
      <c r="D31" s="15">
        <f>skill!O339</f>
        <v>1.44</v>
      </c>
    </row>
    <row r="32" spans="1:4" x14ac:dyDescent="0.15">
      <c r="A32" s="41">
        <v>191</v>
      </c>
      <c r="B32" s="41" t="s">
        <v>1654</v>
      </c>
      <c r="C32" s="15">
        <f>skill!N340</f>
        <v>54</v>
      </c>
      <c r="D32" s="15">
        <f>skill!O340</f>
        <v>1.61</v>
      </c>
    </row>
    <row r="33" spans="1:4" x14ac:dyDescent="0.15">
      <c r="A33" s="41">
        <v>192</v>
      </c>
      <c r="B33" s="41" t="s">
        <v>1655</v>
      </c>
      <c r="C33" s="15">
        <f>skill!N341</f>
        <v>60</v>
      </c>
      <c r="D33" s="15">
        <f>skill!O341</f>
        <v>1.8</v>
      </c>
    </row>
    <row r="34" spans="1:4" x14ac:dyDescent="0.15">
      <c r="A34" s="41">
        <v>193</v>
      </c>
      <c r="B34" s="41" t="s">
        <v>1656</v>
      </c>
      <c r="C34" s="15">
        <f>skill!N342</f>
        <v>67</v>
      </c>
      <c r="D34" s="15">
        <f>skill!O342</f>
        <v>2.02</v>
      </c>
    </row>
    <row r="35" spans="1:4" x14ac:dyDescent="0.15">
      <c r="A35" s="41">
        <v>216</v>
      </c>
      <c r="B35" s="41" t="s">
        <v>1657</v>
      </c>
      <c r="C35" s="15">
        <f>skill!N442</f>
        <v>47</v>
      </c>
      <c r="D35" s="15">
        <f>skill!O442</f>
        <v>1.41</v>
      </c>
    </row>
    <row r="36" spans="1:4" x14ac:dyDescent="0.15">
      <c r="A36" s="41">
        <v>217</v>
      </c>
      <c r="B36" s="41" t="s">
        <v>1658</v>
      </c>
      <c r="C36" s="15">
        <f>skill!N443</f>
        <v>53</v>
      </c>
      <c r="D36" s="15">
        <f>skill!O443</f>
        <v>1.57</v>
      </c>
    </row>
    <row r="37" spans="1:4" x14ac:dyDescent="0.15">
      <c r="A37" s="41">
        <v>218</v>
      </c>
      <c r="B37" s="41" t="s">
        <v>1659</v>
      </c>
      <c r="C37" s="15">
        <f>skill!N444</f>
        <v>59</v>
      </c>
      <c r="D37" s="15">
        <f>skill!O444</f>
        <v>1.76</v>
      </c>
    </row>
    <row r="38" spans="1:4" x14ac:dyDescent="0.15">
      <c r="A38" s="41">
        <v>219</v>
      </c>
      <c r="B38" s="41" t="s">
        <v>1660</v>
      </c>
      <c r="C38" s="15">
        <f>skill!N445</f>
        <v>66</v>
      </c>
      <c r="D38" s="15">
        <f>skill!O445</f>
        <v>1.98</v>
      </c>
    </row>
    <row r="39" spans="1:4" x14ac:dyDescent="0.15">
      <c r="A39" s="41">
        <v>220</v>
      </c>
      <c r="B39" s="41" t="s">
        <v>1661</v>
      </c>
      <c r="C39" s="15">
        <f>skill!N446</f>
        <v>74</v>
      </c>
      <c r="D39" s="15">
        <f>skill!O446</f>
        <v>2.21</v>
      </c>
    </row>
    <row r="40" spans="1:4" x14ac:dyDescent="0.15">
      <c r="A40" s="41">
        <v>221</v>
      </c>
      <c r="B40" s="41" t="s">
        <v>1662</v>
      </c>
      <c r="C40" s="15">
        <f>skill!N447</f>
        <v>83</v>
      </c>
      <c r="D40" s="15">
        <f>skill!O447</f>
        <v>2.48</v>
      </c>
    </row>
    <row r="41" spans="1:4" x14ac:dyDescent="0.15">
      <c r="A41" s="41">
        <v>222</v>
      </c>
      <c r="B41" s="41" t="s">
        <v>1663</v>
      </c>
      <c r="C41" s="15">
        <f>skill!N448</f>
        <v>93</v>
      </c>
      <c r="D41" s="15">
        <f>skill!O448</f>
        <v>2.78</v>
      </c>
    </row>
    <row r="42" spans="1:4" x14ac:dyDescent="0.15">
      <c r="A42" s="41">
        <v>223</v>
      </c>
      <c r="B42" s="41" t="s">
        <v>1664</v>
      </c>
      <c r="C42" s="15">
        <f>skill!N449</f>
        <v>104</v>
      </c>
      <c r="D42" s="15">
        <f>skill!O449</f>
        <v>3.11</v>
      </c>
    </row>
    <row r="43" spans="1:4" x14ac:dyDescent="0.15">
      <c r="A43" s="41">
        <v>224</v>
      </c>
      <c r="B43" s="41" t="s">
        <v>1665</v>
      </c>
      <c r="C43" s="15">
        <f>skill!N450</f>
        <v>116</v>
      </c>
      <c r="D43" s="15">
        <f>skill!O450</f>
        <v>3.48</v>
      </c>
    </row>
    <row r="44" spans="1:4" x14ac:dyDescent="0.15">
      <c r="A44" s="41">
        <v>225</v>
      </c>
      <c r="B44" s="41" t="s">
        <v>1666</v>
      </c>
      <c r="C44" s="15">
        <f>skill!N451</f>
        <v>130</v>
      </c>
      <c r="D44" s="15">
        <f>skill!O451</f>
        <v>3.9</v>
      </c>
    </row>
    <row r="45" spans="1:4" x14ac:dyDescent="0.15">
      <c r="A45" s="41">
        <v>226</v>
      </c>
      <c r="B45" s="41" t="s">
        <v>1667</v>
      </c>
      <c r="C45" s="15">
        <f>skill!N452</f>
        <v>146</v>
      </c>
      <c r="D45" s="15">
        <f>skill!O452</f>
        <v>4.37</v>
      </c>
    </row>
    <row r="46" spans="1:4" x14ac:dyDescent="0.15">
      <c r="A46" s="41">
        <v>249</v>
      </c>
      <c r="B46" s="37" t="s">
        <v>2671</v>
      </c>
      <c r="C46" s="15">
        <f>skill!N673</f>
        <v>47</v>
      </c>
      <c r="D46" s="15">
        <f>skill!O673</f>
        <v>1.41</v>
      </c>
    </row>
    <row r="47" spans="1:4" x14ac:dyDescent="0.15">
      <c r="A47" s="41">
        <v>250</v>
      </c>
      <c r="B47" s="37" t="s">
        <v>2672</v>
      </c>
      <c r="C47" s="15">
        <f>skill!N674</f>
        <v>53</v>
      </c>
      <c r="D47" s="15">
        <f>skill!O674</f>
        <v>1.58</v>
      </c>
    </row>
    <row r="48" spans="1:4" x14ac:dyDescent="0.15">
      <c r="A48" s="41">
        <v>251</v>
      </c>
      <c r="B48" s="37" t="s">
        <v>2673</v>
      </c>
      <c r="C48" s="15">
        <f>skill!N675</f>
        <v>59</v>
      </c>
      <c r="D48" s="15">
        <f>skill!O675</f>
        <v>1.77</v>
      </c>
    </row>
    <row r="49" spans="1:4" x14ac:dyDescent="0.15">
      <c r="A49" s="41">
        <v>252</v>
      </c>
      <c r="B49" s="37" t="s">
        <v>2674</v>
      </c>
      <c r="C49" s="15">
        <f>skill!N676</f>
        <v>66</v>
      </c>
      <c r="D49" s="15">
        <f>skill!O676</f>
        <v>1.99</v>
      </c>
    </row>
    <row r="50" spans="1:4" x14ac:dyDescent="0.15">
      <c r="A50" s="41">
        <v>253</v>
      </c>
      <c r="B50" s="37" t="s">
        <v>2675</v>
      </c>
      <c r="C50" s="15">
        <f>skill!N677</f>
        <v>74</v>
      </c>
      <c r="D50" s="15">
        <f>skill!O677</f>
        <v>2.23</v>
      </c>
    </row>
    <row r="51" spans="1:4" x14ac:dyDescent="0.15">
      <c r="A51" s="41">
        <v>254</v>
      </c>
      <c r="B51" s="37" t="s">
        <v>2676</v>
      </c>
      <c r="C51" s="15">
        <f>skill!N678</f>
        <v>83</v>
      </c>
      <c r="D51" s="15">
        <f>skill!O678</f>
        <v>2.4900000000000002</v>
      </c>
    </row>
    <row r="52" spans="1:4" x14ac:dyDescent="0.15">
      <c r="A52" s="41">
        <v>255</v>
      </c>
      <c r="B52" s="37" t="s">
        <v>2677</v>
      </c>
      <c r="C52" s="15">
        <f>skill!N679</f>
        <v>93</v>
      </c>
      <c r="D52" s="15">
        <f>skill!O679</f>
        <v>2.79</v>
      </c>
    </row>
    <row r="53" spans="1:4" x14ac:dyDescent="0.15">
      <c r="A53" s="41">
        <v>256</v>
      </c>
      <c r="B53" s="37" t="s">
        <v>2678</v>
      </c>
      <c r="C53" s="15">
        <f>skill!N680</f>
        <v>104</v>
      </c>
      <c r="D53" s="15">
        <f>skill!O680</f>
        <v>3.13</v>
      </c>
    </row>
    <row r="54" spans="1:4" x14ac:dyDescent="0.15">
      <c r="A54" s="41">
        <v>257</v>
      </c>
      <c r="B54" s="37" t="s">
        <v>2679</v>
      </c>
      <c r="C54" s="15">
        <f>skill!N681</f>
        <v>117</v>
      </c>
      <c r="D54" s="15">
        <f>skill!O681</f>
        <v>3.5</v>
      </c>
    </row>
    <row r="55" spans="1:4" x14ac:dyDescent="0.15">
      <c r="A55" s="41">
        <v>258</v>
      </c>
      <c r="B55" s="37" t="s">
        <v>2680</v>
      </c>
      <c r="C55" s="15">
        <f>skill!N682</f>
        <v>131</v>
      </c>
      <c r="D55" s="15">
        <f>skill!O682</f>
        <v>3.92</v>
      </c>
    </row>
    <row r="56" spans="1:4" x14ac:dyDescent="0.15">
      <c r="A56" s="41">
        <v>259</v>
      </c>
      <c r="B56" s="37" t="s">
        <v>2681</v>
      </c>
      <c r="C56" s="15">
        <f>skill!N683</f>
        <v>146</v>
      </c>
      <c r="D56" s="15">
        <f>skill!O683</f>
        <v>4.3899999999999997</v>
      </c>
    </row>
    <row r="57" spans="1:4" x14ac:dyDescent="0.15">
      <c r="A57" s="41">
        <v>260</v>
      </c>
      <c r="B57" s="41" t="s">
        <v>1668</v>
      </c>
      <c r="C57" s="15">
        <f>skill!N695</f>
        <v>15</v>
      </c>
      <c r="D57" s="15">
        <f>skill!O695</f>
        <v>0.45</v>
      </c>
    </row>
    <row r="58" spans="1:4" x14ac:dyDescent="0.15">
      <c r="A58" s="41">
        <v>261</v>
      </c>
      <c r="B58" s="41" t="s">
        <v>1669</v>
      </c>
      <c r="C58" s="15">
        <f>skill!N696</f>
        <v>17</v>
      </c>
      <c r="D58" s="15">
        <f>skill!O696</f>
        <v>0.5</v>
      </c>
    </row>
    <row r="59" spans="1:4" x14ac:dyDescent="0.15">
      <c r="A59" s="41">
        <v>262</v>
      </c>
      <c r="B59" s="41" t="s">
        <v>1076</v>
      </c>
      <c r="C59" s="15">
        <f>skill!N697</f>
        <v>19</v>
      </c>
      <c r="D59" s="15">
        <f>skill!O697</f>
        <v>0.56000000000000005</v>
      </c>
    </row>
    <row r="60" spans="1:4" x14ac:dyDescent="0.15">
      <c r="A60" s="41">
        <v>263</v>
      </c>
      <c r="B60" s="41" t="s">
        <v>1077</v>
      </c>
      <c r="C60" s="15">
        <f>skill!N698</f>
        <v>21</v>
      </c>
      <c r="D60" s="15">
        <f>skill!O698</f>
        <v>0.63</v>
      </c>
    </row>
    <row r="61" spans="1:4" x14ac:dyDescent="0.15">
      <c r="A61" s="41">
        <v>264</v>
      </c>
      <c r="B61" s="41" t="s">
        <v>1078</v>
      </c>
      <c r="C61" s="15">
        <f>skill!N699</f>
        <v>23</v>
      </c>
      <c r="D61" s="15">
        <f>skill!O699</f>
        <v>0.7</v>
      </c>
    </row>
    <row r="62" spans="1:4" x14ac:dyDescent="0.15">
      <c r="A62" s="41">
        <v>265</v>
      </c>
      <c r="B62" s="41" t="s">
        <v>1079</v>
      </c>
      <c r="C62" s="15">
        <f>skill!N700</f>
        <v>26</v>
      </c>
      <c r="D62" s="15">
        <f>skill!O700</f>
        <v>0.79</v>
      </c>
    </row>
    <row r="63" spans="1:4" x14ac:dyDescent="0.15">
      <c r="A63" s="41">
        <v>266</v>
      </c>
      <c r="B63" s="41" t="s">
        <v>1080</v>
      </c>
      <c r="C63" s="15">
        <f>skill!N701</f>
        <v>29</v>
      </c>
      <c r="D63" s="15">
        <f>skill!O701</f>
        <v>0.88</v>
      </c>
    </row>
    <row r="64" spans="1:4" x14ac:dyDescent="0.15">
      <c r="A64" s="41">
        <v>267</v>
      </c>
      <c r="B64" s="41" t="s">
        <v>1081</v>
      </c>
      <c r="C64" s="15">
        <f>skill!N702</f>
        <v>33</v>
      </c>
      <c r="D64" s="15">
        <f>skill!O702</f>
        <v>0.99</v>
      </c>
    </row>
    <row r="65" spans="1:4" x14ac:dyDescent="0.15">
      <c r="A65" s="41">
        <v>268</v>
      </c>
      <c r="B65" s="41" t="s">
        <v>1082</v>
      </c>
      <c r="C65" s="15">
        <f>skill!N703</f>
        <v>37</v>
      </c>
      <c r="D65" s="15">
        <f>skill!O703</f>
        <v>1.1000000000000001</v>
      </c>
    </row>
    <row r="66" spans="1:4" x14ac:dyDescent="0.15">
      <c r="A66" s="41">
        <v>269</v>
      </c>
      <c r="B66" s="41" t="s">
        <v>1083</v>
      </c>
      <c r="C66" s="15">
        <f>skill!N704</f>
        <v>41</v>
      </c>
      <c r="D66" s="15">
        <f>skill!O704</f>
        <v>1.24</v>
      </c>
    </row>
    <row r="67" spans="1:4" x14ac:dyDescent="0.15">
      <c r="A67" s="41">
        <v>270</v>
      </c>
      <c r="B67" s="41" t="s">
        <v>1084</v>
      </c>
      <c r="C67" s="15">
        <f>skill!N705</f>
        <v>46</v>
      </c>
      <c r="D67" s="15">
        <f>skill!O705</f>
        <v>1.38</v>
      </c>
    </row>
    <row r="68" spans="1:4" x14ac:dyDescent="0.15">
      <c r="A68" s="41">
        <v>271</v>
      </c>
      <c r="B68" s="41" t="s">
        <v>1670</v>
      </c>
      <c r="C68" s="15">
        <f>skill!N717</f>
        <v>26</v>
      </c>
      <c r="D68" s="15">
        <f>skill!O717</f>
        <v>0.79</v>
      </c>
    </row>
    <row r="69" spans="1:4" x14ac:dyDescent="0.15">
      <c r="A69" s="41">
        <v>272</v>
      </c>
      <c r="B69" s="41" t="s">
        <v>1671</v>
      </c>
      <c r="C69" s="15">
        <f>skill!N718</f>
        <v>30</v>
      </c>
      <c r="D69" s="15">
        <f>skill!O718</f>
        <v>0.89</v>
      </c>
    </row>
    <row r="70" spans="1:4" x14ac:dyDescent="0.15">
      <c r="A70" s="41">
        <v>273</v>
      </c>
      <c r="B70" s="41" t="s">
        <v>1085</v>
      </c>
      <c r="C70" s="15">
        <f>skill!N719</f>
        <v>33</v>
      </c>
      <c r="D70" s="15">
        <f>skill!O719</f>
        <v>0.99</v>
      </c>
    </row>
    <row r="71" spans="1:4" x14ac:dyDescent="0.15">
      <c r="A71" s="41">
        <v>274</v>
      </c>
      <c r="B71" s="41" t="s">
        <v>1086</v>
      </c>
      <c r="C71" s="15">
        <f>skill!N720</f>
        <v>37</v>
      </c>
      <c r="D71" s="15">
        <f>skill!O720</f>
        <v>1.1100000000000001</v>
      </c>
    </row>
    <row r="72" spans="1:4" x14ac:dyDescent="0.15">
      <c r="A72" s="41">
        <v>275</v>
      </c>
      <c r="B72" s="41" t="s">
        <v>1087</v>
      </c>
      <c r="C72" s="15">
        <f>skill!N721</f>
        <v>42</v>
      </c>
      <c r="D72" s="15">
        <f>skill!O721</f>
        <v>1.25</v>
      </c>
    </row>
    <row r="73" spans="1:4" x14ac:dyDescent="0.15">
      <c r="A73" s="41">
        <v>276</v>
      </c>
      <c r="B73" s="41" t="s">
        <v>1088</v>
      </c>
      <c r="C73" s="15">
        <f>skill!N722</f>
        <v>47</v>
      </c>
      <c r="D73" s="15">
        <f>skill!O722</f>
        <v>1.4</v>
      </c>
    </row>
    <row r="74" spans="1:4" x14ac:dyDescent="0.15">
      <c r="A74" s="41">
        <v>277</v>
      </c>
      <c r="B74" s="41" t="s">
        <v>1089</v>
      </c>
      <c r="C74" s="15">
        <f>skill!N723</f>
        <v>52</v>
      </c>
      <c r="D74" s="15">
        <f>skill!O723</f>
        <v>1.56</v>
      </c>
    </row>
    <row r="75" spans="1:4" x14ac:dyDescent="0.15">
      <c r="A75" s="41">
        <v>278</v>
      </c>
      <c r="B75" s="41" t="s">
        <v>1090</v>
      </c>
      <c r="C75" s="15">
        <f>skill!N724</f>
        <v>58</v>
      </c>
      <c r="D75" s="15">
        <f>skill!O724</f>
        <v>1.75</v>
      </c>
    </row>
    <row r="76" spans="1:4" x14ac:dyDescent="0.15">
      <c r="A76" s="41">
        <v>279</v>
      </c>
      <c r="B76" s="41" t="s">
        <v>1091</v>
      </c>
      <c r="C76" s="15">
        <f>skill!N725</f>
        <v>65</v>
      </c>
      <c r="D76" s="15">
        <f>skill!O725</f>
        <v>1.96</v>
      </c>
    </row>
    <row r="77" spans="1:4" x14ac:dyDescent="0.15">
      <c r="A77" s="41">
        <v>280</v>
      </c>
      <c r="B77" s="41" t="s">
        <v>1092</v>
      </c>
      <c r="C77" s="15">
        <f>skill!N726</f>
        <v>73</v>
      </c>
      <c r="D77" s="15">
        <f>skill!O726</f>
        <v>2.2000000000000002</v>
      </c>
    </row>
    <row r="78" spans="1:4" x14ac:dyDescent="0.15">
      <c r="A78" s="41">
        <v>281</v>
      </c>
      <c r="B78" s="41" t="s">
        <v>1093</v>
      </c>
      <c r="C78" s="15">
        <f>skill!N727</f>
        <v>82</v>
      </c>
      <c r="D78" s="15">
        <f>skill!O727</f>
        <v>2.46</v>
      </c>
    </row>
    <row r="79" spans="1:4" x14ac:dyDescent="0.15">
      <c r="A79" s="37">
        <v>428</v>
      </c>
      <c r="B79" s="37" t="s">
        <v>2417</v>
      </c>
      <c r="C79" s="15">
        <f>skill!N552</f>
        <v>117</v>
      </c>
      <c r="D79" s="15">
        <f>skill!O552</f>
        <v>3.5</v>
      </c>
    </row>
    <row r="80" spans="1:4" x14ac:dyDescent="0.15">
      <c r="A80" s="37">
        <v>429</v>
      </c>
      <c r="B80" s="37" t="s">
        <v>2418</v>
      </c>
      <c r="C80" s="15">
        <f>skill!N553</f>
        <v>131</v>
      </c>
      <c r="D80" s="15">
        <f>skill!O553</f>
        <v>3.94</v>
      </c>
    </row>
    <row r="81" spans="1:4" x14ac:dyDescent="0.15">
      <c r="A81" s="37">
        <v>430</v>
      </c>
      <c r="B81" s="37" t="s">
        <v>2419</v>
      </c>
      <c r="C81" s="15">
        <f>skill!N554</f>
        <v>147</v>
      </c>
      <c r="D81" s="15">
        <f>skill!O554</f>
        <v>4.4000000000000004</v>
      </c>
    </row>
    <row r="82" spans="1:4" x14ac:dyDescent="0.15">
      <c r="A82" s="37">
        <v>431</v>
      </c>
      <c r="B82" s="37" t="s">
        <v>2420</v>
      </c>
      <c r="C82" s="15">
        <f>skill!N555</f>
        <v>164</v>
      </c>
      <c r="D82" s="15">
        <f>skill!O555</f>
        <v>4.9400000000000004</v>
      </c>
    </row>
    <row r="83" spans="1:4" x14ac:dyDescent="0.15">
      <c r="A83" s="37">
        <v>432</v>
      </c>
      <c r="B83" s="37" t="s">
        <v>2421</v>
      </c>
      <c r="C83" s="15">
        <f>skill!N556</f>
        <v>184</v>
      </c>
      <c r="D83" s="15">
        <f>skill!O556</f>
        <v>5.52</v>
      </c>
    </row>
    <row r="84" spans="1:4" x14ac:dyDescent="0.15">
      <c r="A84" s="37">
        <v>433</v>
      </c>
      <c r="B84" s="37" t="s">
        <v>2422</v>
      </c>
      <c r="C84" s="15">
        <f>skill!N557</f>
        <v>206</v>
      </c>
      <c r="D84" s="15">
        <f>skill!O557</f>
        <v>6.18</v>
      </c>
    </row>
    <row r="85" spans="1:4" x14ac:dyDescent="0.15">
      <c r="A85" s="37">
        <v>434</v>
      </c>
      <c r="B85" s="37" t="s">
        <v>2423</v>
      </c>
      <c r="C85" s="15">
        <f>skill!N558</f>
        <v>231</v>
      </c>
      <c r="D85" s="15">
        <f>skill!O558</f>
        <v>6.92</v>
      </c>
    </row>
    <row r="86" spans="1:4" x14ac:dyDescent="0.15">
      <c r="A86" s="37">
        <v>435</v>
      </c>
      <c r="B86" s="37" t="s">
        <v>2424</v>
      </c>
      <c r="C86" s="15">
        <f>skill!N559</f>
        <v>259</v>
      </c>
      <c r="D86" s="15">
        <f>skill!O559</f>
        <v>7.76</v>
      </c>
    </row>
    <row r="87" spans="1:4" x14ac:dyDescent="0.15">
      <c r="A87" s="37">
        <v>436</v>
      </c>
      <c r="B87" s="37" t="s">
        <v>2425</v>
      </c>
      <c r="C87" s="15">
        <f>skill!N560</f>
        <v>290</v>
      </c>
      <c r="D87" s="15">
        <f>skill!O560</f>
        <v>8.68</v>
      </c>
    </row>
    <row r="88" spans="1:4" x14ac:dyDescent="0.15">
      <c r="A88" s="37">
        <v>437</v>
      </c>
      <c r="B88" s="37" t="s">
        <v>2426</v>
      </c>
      <c r="C88" s="15">
        <f>skill!N561</f>
        <v>324</v>
      </c>
      <c r="D88" s="15">
        <f>skill!O561</f>
        <v>9.74</v>
      </c>
    </row>
    <row r="89" spans="1:4" x14ac:dyDescent="0.15">
      <c r="A89" s="37">
        <v>438</v>
      </c>
      <c r="B89" s="37" t="s">
        <v>2427</v>
      </c>
      <c r="C89" s="15">
        <f>skill!N562</f>
        <v>363</v>
      </c>
      <c r="D89" s="15">
        <f>skill!O562</f>
        <v>10.9</v>
      </c>
    </row>
    <row r="90" spans="1:4" x14ac:dyDescent="0.15">
      <c r="A90" s="37">
        <v>439</v>
      </c>
      <c r="B90" s="37" t="s">
        <v>2429</v>
      </c>
      <c r="C90" s="15">
        <f>skill!N211</f>
        <v>13</v>
      </c>
      <c r="D90" s="15">
        <f>skill!O211</f>
        <v>0.38</v>
      </c>
    </row>
    <row r="91" spans="1:4" x14ac:dyDescent="0.15">
      <c r="A91" s="37">
        <v>440</v>
      </c>
      <c r="B91" s="37" t="s">
        <v>2430</v>
      </c>
      <c r="C91" s="15">
        <f>skill!N212</f>
        <v>14</v>
      </c>
      <c r="D91" s="15">
        <f>skill!O212</f>
        <v>0.42</v>
      </c>
    </row>
    <row r="92" spans="1:4" x14ac:dyDescent="0.15">
      <c r="A92" s="37">
        <v>441</v>
      </c>
      <c r="B92" s="37" t="s">
        <v>2431</v>
      </c>
      <c r="C92" s="15">
        <f>skill!N213</f>
        <v>16</v>
      </c>
      <c r="D92" s="15">
        <f>skill!O213</f>
        <v>0.47</v>
      </c>
    </row>
    <row r="93" spans="1:4" x14ac:dyDescent="0.15">
      <c r="A93" s="37">
        <v>442</v>
      </c>
      <c r="B93" s="37" t="s">
        <v>2432</v>
      </c>
      <c r="C93" s="15">
        <f>skill!N214</f>
        <v>18</v>
      </c>
      <c r="D93" s="15">
        <f>skill!O214</f>
        <v>0.53</v>
      </c>
    </row>
    <row r="94" spans="1:4" x14ac:dyDescent="0.15">
      <c r="A94" s="37">
        <v>443</v>
      </c>
      <c r="B94" s="37" t="s">
        <v>2433</v>
      </c>
      <c r="C94" s="15">
        <f>skill!N215</f>
        <v>20</v>
      </c>
      <c r="D94" s="15">
        <f>skill!O215</f>
        <v>0.59</v>
      </c>
    </row>
    <row r="95" spans="1:4" x14ac:dyDescent="0.15">
      <c r="A95" s="37">
        <v>444</v>
      </c>
      <c r="B95" s="37" t="s">
        <v>2434</v>
      </c>
      <c r="C95" s="15">
        <f>skill!N216</f>
        <v>22</v>
      </c>
      <c r="D95" s="15">
        <f>skill!O216</f>
        <v>0.67</v>
      </c>
    </row>
    <row r="96" spans="1:4" x14ac:dyDescent="0.15">
      <c r="A96" s="37">
        <v>445</v>
      </c>
      <c r="B96" s="37" t="s">
        <v>2435</v>
      </c>
      <c r="C96" s="15">
        <f>skill!N217</f>
        <v>25</v>
      </c>
      <c r="D96" s="15">
        <f>skill!O217</f>
        <v>0.75</v>
      </c>
    </row>
    <row r="97" spans="1:4" x14ac:dyDescent="0.15">
      <c r="A97" s="37">
        <v>446</v>
      </c>
      <c r="B97" s="37" t="s">
        <v>2436</v>
      </c>
      <c r="C97" s="15">
        <f>skill!N218</f>
        <v>28</v>
      </c>
      <c r="D97" s="15">
        <f>skill!O218</f>
        <v>0.84</v>
      </c>
    </row>
    <row r="98" spans="1:4" x14ac:dyDescent="0.15">
      <c r="A98" s="37">
        <v>447</v>
      </c>
      <c r="B98" s="37" t="s">
        <v>2437</v>
      </c>
      <c r="C98" s="15">
        <f>skill!N219</f>
        <v>31</v>
      </c>
      <c r="D98" s="15">
        <f>skill!O219</f>
        <v>0.94</v>
      </c>
    </row>
    <row r="99" spans="1:4" x14ac:dyDescent="0.15">
      <c r="A99" s="37">
        <v>448</v>
      </c>
      <c r="B99" s="37" t="s">
        <v>2438</v>
      </c>
      <c r="C99" s="15">
        <f>skill!N220</f>
        <v>35</v>
      </c>
      <c r="D99" s="15">
        <f>skill!O220</f>
        <v>1.05</v>
      </c>
    </row>
    <row r="100" spans="1:4" x14ac:dyDescent="0.15">
      <c r="A100" s="37">
        <v>449</v>
      </c>
      <c r="B100" s="37" t="s">
        <v>2439</v>
      </c>
      <c r="C100" s="15">
        <f>skill!N221</f>
        <v>39</v>
      </c>
      <c r="D100" s="15">
        <f>skill!O221</f>
        <v>1.17</v>
      </c>
    </row>
    <row r="101" spans="1:4" x14ac:dyDescent="0.15">
      <c r="A101" s="37">
        <v>478</v>
      </c>
      <c r="B101" s="73" t="s">
        <v>2893</v>
      </c>
      <c r="C101" s="15">
        <f>skill!N1156</f>
        <v>54</v>
      </c>
      <c r="D101" s="15">
        <f>skill!O1156</f>
        <v>1.63</v>
      </c>
    </row>
    <row r="102" spans="1:4" x14ac:dyDescent="0.15">
      <c r="A102" s="37">
        <v>479</v>
      </c>
      <c r="B102" s="73" t="s">
        <v>2894</v>
      </c>
      <c r="C102" s="15">
        <f>skill!N1157</f>
        <v>72</v>
      </c>
      <c r="D102" s="15">
        <f>skill!O1157</f>
        <v>2.16</v>
      </c>
    </row>
    <row r="103" spans="1:4" x14ac:dyDescent="0.15">
      <c r="A103" s="37">
        <v>480</v>
      </c>
      <c r="B103" s="73" t="s">
        <v>2895</v>
      </c>
      <c r="C103" s="15">
        <f>skill!N1158</f>
        <v>96</v>
      </c>
      <c r="D103" s="15">
        <f>skill!O1158</f>
        <v>2.87</v>
      </c>
    </row>
    <row r="104" spans="1:4" x14ac:dyDescent="0.15">
      <c r="A104" s="37">
        <v>481</v>
      </c>
      <c r="B104" s="73" t="s">
        <v>2896</v>
      </c>
      <c r="C104" s="15">
        <f>skill!N1159</f>
        <v>127</v>
      </c>
      <c r="D104" s="15">
        <f>skill!O1159</f>
        <v>3.81</v>
      </c>
    </row>
    <row r="105" spans="1:4" x14ac:dyDescent="0.15">
      <c r="A105" s="37">
        <v>482</v>
      </c>
      <c r="B105" s="73" t="s">
        <v>2897</v>
      </c>
      <c r="C105" s="15">
        <f>skill!N1160</f>
        <v>169</v>
      </c>
      <c r="D105" s="15">
        <f>skill!O1160</f>
        <v>5.0599999999999996</v>
      </c>
    </row>
    <row r="106" spans="1:4" x14ac:dyDescent="0.15">
      <c r="A106" s="37">
        <v>483</v>
      </c>
      <c r="B106" s="92" t="s">
        <v>2960</v>
      </c>
      <c r="C106" s="15">
        <f>skill!N1188</f>
        <v>19</v>
      </c>
      <c r="D106" s="15">
        <f>skill!O1188</f>
        <v>0.57999999999999996</v>
      </c>
    </row>
    <row r="107" spans="1:4" x14ac:dyDescent="0.15">
      <c r="A107" s="37">
        <v>484</v>
      </c>
      <c r="B107" s="92" t="s">
        <v>2961</v>
      </c>
      <c r="C107" s="15">
        <f>skill!N1189</f>
        <v>21</v>
      </c>
      <c r="D107" s="15">
        <f>skill!O1189</f>
        <v>0.65</v>
      </c>
    </row>
    <row r="108" spans="1:4" x14ac:dyDescent="0.15">
      <c r="A108" s="37">
        <v>485</v>
      </c>
      <c r="B108" s="92" t="s">
        <v>2962</v>
      </c>
      <c r="C108" s="15">
        <f>skill!N1190</f>
        <v>24</v>
      </c>
      <c r="D108" s="15">
        <f>skill!O1190</f>
        <v>0.72</v>
      </c>
    </row>
    <row r="109" spans="1:4" x14ac:dyDescent="0.15">
      <c r="A109" s="37">
        <v>486</v>
      </c>
      <c r="B109" s="92" t="s">
        <v>2963</v>
      </c>
      <c r="C109" s="15">
        <f>skill!N1191</f>
        <v>27</v>
      </c>
      <c r="D109" s="15">
        <f>skill!O1191</f>
        <v>0.81</v>
      </c>
    </row>
    <row r="110" spans="1:4" x14ac:dyDescent="0.15">
      <c r="A110" s="37">
        <v>487</v>
      </c>
      <c r="B110" s="92" t="s">
        <v>2964</v>
      </c>
      <c r="C110" s="15">
        <f>skill!N1192</f>
        <v>30</v>
      </c>
      <c r="D110" s="15">
        <f>skill!O1192</f>
        <v>0.91</v>
      </c>
    </row>
    <row r="111" spans="1:4" x14ac:dyDescent="0.15">
      <c r="A111" s="37">
        <v>488</v>
      </c>
      <c r="B111" s="92" t="s">
        <v>2965</v>
      </c>
      <c r="C111" s="15">
        <f>skill!N1193</f>
        <v>34</v>
      </c>
      <c r="D111" s="15">
        <f>skill!O1193</f>
        <v>1.02</v>
      </c>
    </row>
    <row r="112" spans="1:4" x14ac:dyDescent="0.15">
      <c r="A112" s="37">
        <v>489</v>
      </c>
      <c r="B112" s="92" t="s">
        <v>2966</v>
      </c>
      <c r="C112" s="15">
        <f>skill!N1194</f>
        <v>38</v>
      </c>
      <c r="D112" s="15">
        <f>skill!O1194</f>
        <v>1.1399999999999999</v>
      </c>
    </row>
    <row r="113" spans="1:4" x14ac:dyDescent="0.15">
      <c r="A113" s="37">
        <v>490</v>
      </c>
      <c r="B113" s="92" t="s">
        <v>2967</v>
      </c>
      <c r="C113" s="15">
        <f>skill!N1195</f>
        <v>42</v>
      </c>
      <c r="D113" s="15">
        <f>skill!O1195</f>
        <v>1.27</v>
      </c>
    </row>
    <row r="114" spans="1:4" x14ac:dyDescent="0.15">
      <c r="A114" s="37">
        <v>491</v>
      </c>
      <c r="B114" s="92" t="s">
        <v>2968</v>
      </c>
      <c r="C114" s="15">
        <f>skill!N1196</f>
        <v>47</v>
      </c>
      <c r="D114" s="15">
        <f>skill!O1196</f>
        <v>1.43</v>
      </c>
    </row>
    <row r="115" spans="1:4" x14ac:dyDescent="0.15">
      <c r="A115" s="37">
        <v>492</v>
      </c>
      <c r="B115" s="92" t="s">
        <v>2969</v>
      </c>
      <c r="C115" s="15">
        <f>skill!N1197</f>
        <v>53</v>
      </c>
      <c r="D115" s="15">
        <f>skill!O1197</f>
        <v>1.6</v>
      </c>
    </row>
    <row r="116" spans="1:4" x14ac:dyDescent="0.15">
      <c r="A116" s="37">
        <v>493</v>
      </c>
      <c r="B116" s="92" t="s">
        <v>2970</v>
      </c>
      <c r="C116" s="15">
        <f>skill!N1198</f>
        <v>60</v>
      </c>
      <c r="D116" s="15">
        <f>skill!O1198</f>
        <v>1.79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62"/>
  <sheetViews>
    <sheetView zoomScale="115" zoomScaleNormal="115" workbookViewId="0">
      <selection activeCell="I2" sqref="I2"/>
    </sheetView>
  </sheetViews>
  <sheetFormatPr defaultRowHeight="13.5" x14ac:dyDescent="0.15"/>
  <cols>
    <col min="1" max="1" width="8" style="35" bestFit="1" customWidth="1"/>
    <col min="2" max="2" width="16.375" style="44" bestFit="1" customWidth="1"/>
    <col min="3" max="3" width="9.875" style="44" customWidth="1"/>
    <col min="4" max="4" width="9" style="44" customWidth="1"/>
    <col min="5" max="5" width="14.125" style="44" bestFit="1" customWidth="1"/>
    <col min="6" max="6" width="14.125" style="44" customWidth="1"/>
    <col min="7" max="7" width="13.375" style="44" bestFit="1" customWidth="1"/>
    <col min="8" max="8" width="15.375" style="44" bestFit="1" customWidth="1"/>
    <col min="9" max="9" width="13.375" style="44" bestFit="1" customWidth="1"/>
    <col min="10" max="10" width="15.375" style="44" bestFit="1" customWidth="1"/>
    <col min="11" max="13" width="9" style="44"/>
    <col min="14" max="14" width="13.375" style="44" customWidth="1"/>
    <col min="15" max="16384" width="9" style="44"/>
  </cols>
  <sheetData>
    <row r="1" spans="1:15" x14ac:dyDescent="0.15">
      <c r="A1" s="45" t="s">
        <v>1759</v>
      </c>
      <c r="B1" s="24" t="s">
        <v>1633</v>
      </c>
      <c r="C1" s="24" t="s">
        <v>1906</v>
      </c>
      <c r="D1" s="24" t="s">
        <v>1907</v>
      </c>
      <c r="E1" s="24" t="s">
        <v>1760</v>
      </c>
      <c r="F1" s="24" t="s">
        <v>1761</v>
      </c>
      <c r="G1" s="24" t="s">
        <v>1762</v>
      </c>
      <c r="H1" s="24" t="s">
        <v>1763</v>
      </c>
      <c r="I1" s="24" t="s">
        <v>2378</v>
      </c>
      <c r="J1" s="24" t="s">
        <v>2379</v>
      </c>
    </row>
    <row r="2" spans="1:15" x14ac:dyDescent="0.15">
      <c r="A2" s="31">
        <v>1</v>
      </c>
      <c r="B2" s="35" t="s">
        <v>1764</v>
      </c>
      <c r="C2" s="35">
        <f>INDEX(monster!$D$2:$D$700,MATCH(progress!A2,monster!$A$2:$A$700,0))</f>
        <v>1</v>
      </c>
      <c r="D2" s="35">
        <f>INDEX(monster!$E$2:$E$700,MATCH(progress!A2,monster!$A$2:$A$700,0))</f>
        <v>0</v>
      </c>
      <c r="E2" s="44">
        <f>INDEX(产销规划表!$G$5:$K$16,progress!D2+2,progress!C2)</f>
        <v>100</v>
      </c>
      <c r="F2" s="44">
        <v>2</v>
      </c>
      <c r="G2" s="31" t="s">
        <v>2545</v>
      </c>
      <c r="H2" s="44">
        <f>INDEX(产销规划表!$B$5:$F$16,progress!D2+2,progress!C2)</f>
        <v>5</v>
      </c>
      <c r="I2" s="70" t="s">
        <v>3068</v>
      </c>
      <c r="J2" s="44">
        <v>125</v>
      </c>
      <c r="N2" s="70"/>
    </row>
    <row r="3" spans="1:15" x14ac:dyDescent="0.15">
      <c r="A3" s="31">
        <v>2</v>
      </c>
      <c r="B3" s="35" t="s">
        <v>1765</v>
      </c>
      <c r="C3" s="35">
        <f>INDEX(monster!$D$2:$D$700,MATCH(progress!A3,monster!$A$2:$A$700,0))</f>
        <v>1</v>
      </c>
      <c r="D3" s="35">
        <f>INDEX(monster!$E$2:$E$700,MATCH(progress!A3,monster!$A$2:$A$700,0))</f>
        <v>0</v>
      </c>
      <c r="E3" s="44">
        <f>INDEX(产销规划表!$G$5:$K$16,progress!D3+2,progress!C3)</f>
        <v>100</v>
      </c>
      <c r="F3" s="44">
        <v>2</v>
      </c>
      <c r="G3" s="31" t="s">
        <v>2545</v>
      </c>
      <c r="H3" s="44">
        <f>INDEX(产销规划表!$B$5:$F$16,progress!D3+2,progress!C3)</f>
        <v>5</v>
      </c>
      <c r="I3" s="70" t="s">
        <v>3068</v>
      </c>
      <c r="J3" s="44">
        <v>125</v>
      </c>
      <c r="N3" s="70"/>
    </row>
    <row r="4" spans="1:15" x14ac:dyDescent="0.15">
      <c r="A4" s="31">
        <v>3</v>
      </c>
      <c r="B4" s="31" t="s">
        <v>1766</v>
      </c>
      <c r="C4" s="35">
        <f>INDEX(monster!$D$2:$D$700,MATCH(progress!A4,monster!$A$2:$A$700,0))</f>
        <v>1</v>
      </c>
      <c r="D4" s="35">
        <f>INDEX(monster!$E$2:$E$700,MATCH(progress!A4,monster!$A$2:$A$700,0))</f>
        <v>1</v>
      </c>
      <c r="E4" s="44">
        <f>INDEX(产销规划表!$G$5:$K$16,progress!D4+2,progress!C4)</f>
        <v>200</v>
      </c>
      <c r="F4" s="44">
        <v>2</v>
      </c>
      <c r="G4" s="31" t="s">
        <v>2545</v>
      </c>
      <c r="H4" s="44">
        <f>INDEX(产销规划表!$B$5:$F$16,progress!D4+2,progress!C4)</f>
        <v>10</v>
      </c>
      <c r="I4" s="70" t="s">
        <v>3068</v>
      </c>
      <c r="J4" s="44">
        <v>250</v>
      </c>
      <c r="N4" s="70"/>
      <c r="O4" s="70"/>
    </row>
    <row r="5" spans="1:15" x14ac:dyDescent="0.15">
      <c r="A5" s="31">
        <v>4</v>
      </c>
      <c r="B5" s="31" t="s">
        <v>1767</v>
      </c>
      <c r="C5" s="35">
        <f>INDEX(monster!$D$2:$D$700,MATCH(progress!A5,monster!$A$2:$A$700,0))</f>
        <v>1</v>
      </c>
      <c r="D5" s="35">
        <f>INDEX(monster!$E$2:$E$700,MATCH(progress!A5,monster!$A$2:$A$700,0))</f>
        <v>2</v>
      </c>
      <c r="E5" s="44">
        <f>INDEX(产销规划表!$G$5:$K$16,progress!D5+2,progress!C5)</f>
        <v>500</v>
      </c>
      <c r="F5" s="44">
        <v>2</v>
      </c>
      <c r="G5" s="31" t="s">
        <v>2545</v>
      </c>
      <c r="H5" s="44">
        <f>INDEX(产销规划表!$B$5:$F$16,progress!D5+2,progress!C5)</f>
        <v>20</v>
      </c>
      <c r="I5" s="70" t="s">
        <v>3068</v>
      </c>
      <c r="J5" s="44">
        <v>375</v>
      </c>
      <c r="N5" s="70"/>
      <c r="O5" s="70"/>
    </row>
    <row r="6" spans="1:15" x14ac:dyDescent="0.15">
      <c r="A6" s="31">
        <v>5</v>
      </c>
      <c r="B6" s="31" t="s">
        <v>137</v>
      </c>
      <c r="C6" s="35">
        <f>INDEX(monster!$D$2:$D$700,MATCH(progress!A6,monster!$A$2:$A$700,0))</f>
        <v>1</v>
      </c>
      <c r="D6" s="35">
        <f>INDEX(monster!$E$2:$E$700,MATCH(progress!A6,monster!$A$2:$A$700,0))</f>
        <v>3</v>
      </c>
      <c r="E6" s="44">
        <f>INDEX(产销规划表!$G$5:$K$16,progress!D6+2,progress!C6)</f>
        <v>1500</v>
      </c>
      <c r="F6" s="44">
        <v>2</v>
      </c>
      <c r="G6" s="31" t="s">
        <v>2545</v>
      </c>
      <c r="H6" s="44">
        <f>INDEX(产销规划表!$B$5:$F$16,progress!D6+2,progress!C6)</f>
        <v>50</v>
      </c>
      <c r="I6" s="70" t="s">
        <v>3068</v>
      </c>
      <c r="J6" s="44">
        <v>625</v>
      </c>
    </row>
    <row r="7" spans="1:15" x14ac:dyDescent="0.15">
      <c r="A7" s="31">
        <v>6</v>
      </c>
      <c r="B7" s="31" t="s">
        <v>138</v>
      </c>
      <c r="C7" s="35">
        <f>INDEX(monster!$D$2:$D$700,MATCH(progress!A7,monster!$A$2:$A$700,0))</f>
        <v>1</v>
      </c>
      <c r="D7" s="35">
        <f>INDEX(monster!$E$2:$E$700,MATCH(progress!A7,monster!$A$2:$A$700,0))</f>
        <v>4</v>
      </c>
      <c r="E7" s="44">
        <f>INDEX(产销规划表!$G$5:$K$16,progress!D7+2,progress!C7)</f>
        <v>4000</v>
      </c>
      <c r="F7" s="44">
        <v>2</v>
      </c>
      <c r="G7" s="31" t="s">
        <v>2545</v>
      </c>
      <c r="H7" s="44">
        <f>INDEX(产销规划表!$B$5:$F$16,progress!D7+2,progress!C7)</f>
        <v>80</v>
      </c>
      <c r="I7" s="70" t="s">
        <v>3068</v>
      </c>
      <c r="J7" s="44">
        <v>1000</v>
      </c>
    </row>
    <row r="8" spans="1:15" x14ac:dyDescent="0.15">
      <c r="A8" s="31">
        <v>7</v>
      </c>
      <c r="B8" s="31" t="s">
        <v>139</v>
      </c>
      <c r="C8" s="35">
        <f>INDEX(monster!$D$2:$D$700,MATCH(progress!A8,monster!$A$2:$A$700,0))</f>
        <v>1</v>
      </c>
      <c r="D8" s="35">
        <f>INDEX(monster!$E$2:$E$700,MATCH(progress!A8,monster!$A$2:$A$700,0))</f>
        <v>5</v>
      </c>
      <c r="E8" s="44">
        <f>INDEX(产销规划表!$G$5:$K$16,progress!D8+2,progress!C8)</f>
        <v>10000</v>
      </c>
      <c r="F8" s="44">
        <v>2</v>
      </c>
      <c r="G8" s="31" t="s">
        <v>2545</v>
      </c>
      <c r="H8" s="44">
        <f>INDEX(产销规划表!$B$5:$F$16,progress!D8+2,progress!C8)</f>
        <v>120</v>
      </c>
      <c r="I8" s="70" t="s">
        <v>3068</v>
      </c>
      <c r="J8" s="44">
        <v>1625</v>
      </c>
    </row>
    <row r="9" spans="1:15" x14ac:dyDescent="0.15">
      <c r="A9" s="31">
        <v>8</v>
      </c>
      <c r="B9" s="31" t="s">
        <v>140</v>
      </c>
      <c r="C9" s="35">
        <f>INDEX(monster!$D$2:$D$700,MATCH(progress!A9,monster!$A$2:$A$700,0))</f>
        <v>1</v>
      </c>
      <c r="D9" s="35">
        <f>INDEX(monster!$E$2:$E$700,MATCH(progress!A9,monster!$A$2:$A$700,0))</f>
        <v>6</v>
      </c>
      <c r="E9" s="44">
        <f>INDEX(产销规划表!$G$5:$K$16,progress!D9+2,progress!C9)</f>
        <v>20000</v>
      </c>
      <c r="F9" s="44">
        <v>2</v>
      </c>
      <c r="G9" s="31" t="s">
        <v>2545</v>
      </c>
      <c r="H9" s="44">
        <f>INDEX(产销规划表!$B$5:$F$16,progress!D9+2,progress!C9)</f>
        <v>200</v>
      </c>
      <c r="I9" s="70" t="s">
        <v>3068</v>
      </c>
      <c r="J9" s="44">
        <v>2500</v>
      </c>
    </row>
    <row r="10" spans="1:15" x14ac:dyDescent="0.15">
      <c r="A10" s="31">
        <v>9</v>
      </c>
      <c r="B10" s="31" t="s">
        <v>141</v>
      </c>
      <c r="C10" s="35">
        <f>INDEX(monster!$D$2:$D$700,MATCH(progress!A10,monster!$A$2:$A$700,0))</f>
        <v>1</v>
      </c>
      <c r="D10" s="35">
        <f>INDEX(monster!$E$2:$E$700,MATCH(progress!A10,monster!$A$2:$A$700,0))</f>
        <v>7</v>
      </c>
      <c r="E10" s="44">
        <f>INDEX(产销规划表!$G$5:$K$16,progress!D10+2,progress!C10)</f>
        <v>40000</v>
      </c>
      <c r="F10" s="44">
        <v>2</v>
      </c>
      <c r="G10" s="31" t="s">
        <v>2545</v>
      </c>
      <c r="H10" s="44">
        <f>INDEX(产销规划表!$B$5:$F$16,progress!D10+2,progress!C10)</f>
        <v>350</v>
      </c>
      <c r="I10" s="70" t="s">
        <v>3068</v>
      </c>
      <c r="J10" s="44">
        <v>3750</v>
      </c>
    </row>
    <row r="11" spans="1:15" x14ac:dyDescent="0.15">
      <c r="A11" s="31">
        <v>10</v>
      </c>
      <c r="B11" s="31" t="s">
        <v>142</v>
      </c>
      <c r="C11" s="35">
        <f>INDEX(monster!$D$2:$D$700,MATCH(progress!A11,monster!$A$2:$A$700,0))</f>
        <v>1</v>
      </c>
      <c r="D11" s="35">
        <f>INDEX(monster!$E$2:$E$700,MATCH(progress!A11,monster!$A$2:$A$700,0))</f>
        <v>8</v>
      </c>
      <c r="E11" s="44">
        <f>INDEX(产销规划表!$G$5:$K$16,progress!D11+2,progress!C11)</f>
        <v>100000</v>
      </c>
      <c r="F11" s="44">
        <v>2</v>
      </c>
      <c r="G11" s="31" t="s">
        <v>2545</v>
      </c>
      <c r="H11" s="44">
        <f>INDEX(产销规划表!$B$5:$F$16,progress!D11+2,progress!C11)</f>
        <v>600</v>
      </c>
      <c r="I11" s="70" t="s">
        <v>3068</v>
      </c>
      <c r="J11" s="44">
        <v>5750</v>
      </c>
    </row>
    <row r="12" spans="1:15" x14ac:dyDescent="0.15">
      <c r="A12" s="31">
        <v>11</v>
      </c>
      <c r="B12" s="31" t="s">
        <v>143</v>
      </c>
      <c r="C12" s="35">
        <f>INDEX(monster!$D$2:$D$700,MATCH(progress!A12,monster!$A$2:$A$700,0))</f>
        <v>1</v>
      </c>
      <c r="D12" s="35">
        <f>INDEX(monster!$E$2:$E$700,MATCH(progress!A12,monster!$A$2:$A$700,0))</f>
        <v>9</v>
      </c>
      <c r="E12" s="44">
        <f>INDEX(产销规划表!$G$5:$K$16,progress!D12+2,progress!C12)</f>
        <v>200000</v>
      </c>
      <c r="F12" s="44">
        <v>2</v>
      </c>
      <c r="G12" s="31" t="s">
        <v>2545</v>
      </c>
      <c r="H12" s="44">
        <f>INDEX(产销规划表!$B$5:$F$16,progress!D12+2,progress!C12)</f>
        <v>1000</v>
      </c>
      <c r="I12" s="70" t="s">
        <v>3068</v>
      </c>
      <c r="J12" s="44">
        <v>9000</v>
      </c>
    </row>
    <row r="13" spans="1:15" x14ac:dyDescent="0.15">
      <c r="A13" s="31">
        <v>12</v>
      </c>
      <c r="B13" s="31" t="s">
        <v>144</v>
      </c>
      <c r="C13" s="35">
        <f>INDEX(monster!$D$2:$D$700,MATCH(progress!A13,monster!$A$2:$A$700,0))</f>
        <v>1</v>
      </c>
      <c r="D13" s="35">
        <f>INDEX(monster!$E$2:$E$700,MATCH(progress!A13,monster!$A$2:$A$700,0))</f>
        <v>10</v>
      </c>
      <c r="E13" s="44">
        <f>INDEX(产销规划表!$G$5:$K$16,progress!D13+2,progress!C13)</f>
        <v>-1</v>
      </c>
      <c r="F13" s="44">
        <v>2</v>
      </c>
      <c r="G13" s="31" t="s">
        <v>2545</v>
      </c>
      <c r="H13" s="44">
        <f>INDEX(产销规划表!$B$5:$F$16,progress!D13+2,progress!C13)</f>
        <v>-1</v>
      </c>
      <c r="I13" s="70" t="s">
        <v>3068</v>
      </c>
      <c r="J13" s="44">
        <v>-1</v>
      </c>
    </row>
    <row r="14" spans="1:15" x14ac:dyDescent="0.15">
      <c r="A14" s="31">
        <v>13</v>
      </c>
      <c r="B14" s="31" t="s">
        <v>1768</v>
      </c>
      <c r="C14" s="35">
        <f>INDEX(monster!$D$2:$D$700,MATCH(progress!A14,monster!$A$2:$A$700,0))</f>
        <v>1</v>
      </c>
      <c r="D14" s="35">
        <f>INDEX(monster!$E$2:$E$700,MATCH(progress!A14,monster!$A$2:$A$700,0))</f>
        <v>1</v>
      </c>
      <c r="E14" s="44">
        <f>INDEX(产销规划表!$G$5:$K$16,progress!D14+2,progress!C14)</f>
        <v>200</v>
      </c>
      <c r="F14" s="44">
        <v>2</v>
      </c>
      <c r="G14" s="31" t="s">
        <v>2545</v>
      </c>
      <c r="H14" s="44">
        <f>INDEX(产销规划表!$B$5:$F$16,progress!D14+2,progress!C14)</f>
        <v>10</v>
      </c>
      <c r="I14" s="70" t="s">
        <v>3068</v>
      </c>
      <c r="J14" s="44">
        <v>250</v>
      </c>
    </row>
    <row r="15" spans="1:15" x14ac:dyDescent="0.15">
      <c r="A15" s="31">
        <v>14</v>
      </c>
      <c r="B15" s="31" t="s">
        <v>1769</v>
      </c>
      <c r="C15" s="35">
        <f>INDEX(monster!$D$2:$D$700,MATCH(progress!A15,monster!$A$2:$A$700,0))</f>
        <v>1</v>
      </c>
      <c r="D15" s="35">
        <f>INDEX(monster!$E$2:$E$700,MATCH(progress!A15,monster!$A$2:$A$700,0))</f>
        <v>2</v>
      </c>
      <c r="E15" s="44">
        <f>INDEX(产销规划表!$G$5:$K$16,progress!D15+2,progress!C15)</f>
        <v>500</v>
      </c>
      <c r="F15" s="44">
        <v>2</v>
      </c>
      <c r="G15" s="31" t="s">
        <v>2545</v>
      </c>
      <c r="H15" s="44">
        <f>INDEX(产销规划表!$B$5:$F$16,progress!D15+2,progress!C15)</f>
        <v>20</v>
      </c>
      <c r="I15" s="70" t="s">
        <v>3068</v>
      </c>
      <c r="J15" s="44">
        <v>375</v>
      </c>
    </row>
    <row r="16" spans="1:15" x14ac:dyDescent="0.15">
      <c r="A16" s="31">
        <v>15</v>
      </c>
      <c r="B16" s="31" t="s">
        <v>145</v>
      </c>
      <c r="C16" s="35">
        <f>INDEX(monster!$D$2:$D$700,MATCH(progress!A16,monster!$A$2:$A$700,0))</f>
        <v>1</v>
      </c>
      <c r="D16" s="35">
        <f>INDEX(monster!$E$2:$E$700,MATCH(progress!A16,monster!$A$2:$A$700,0))</f>
        <v>3</v>
      </c>
      <c r="E16" s="44">
        <f>INDEX(产销规划表!$G$5:$K$16,progress!D16+2,progress!C16)</f>
        <v>1500</v>
      </c>
      <c r="F16" s="44">
        <v>2</v>
      </c>
      <c r="G16" s="31" t="s">
        <v>2545</v>
      </c>
      <c r="H16" s="44">
        <f>INDEX(产销规划表!$B$5:$F$16,progress!D16+2,progress!C16)</f>
        <v>50</v>
      </c>
      <c r="I16" s="70" t="s">
        <v>3068</v>
      </c>
      <c r="J16" s="44">
        <v>625</v>
      </c>
    </row>
    <row r="17" spans="1:10" x14ac:dyDescent="0.15">
      <c r="A17" s="31">
        <v>16</v>
      </c>
      <c r="B17" s="31" t="s">
        <v>146</v>
      </c>
      <c r="C17" s="35">
        <f>INDEX(monster!$D$2:$D$700,MATCH(progress!A17,monster!$A$2:$A$700,0))</f>
        <v>1</v>
      </c>
      <c r="D17" s="35">
        <f>INDEX(monster!$E$2:$E$700,MATCH(progress!A17,monster!$A$2:$A$700,0))</f>
        <v>4</v>
      </c>
      <c r="E17" s="44">
        <f>INDEX(产销规划表!$G$5:$K$16,progress!D17+2,progress!C17)</f>
        <v>4000</v>
      </c>
      <c r="F17" s="44">
        <v>2</v>
      </c>
      <c r="G17" s="31" t="s">
        <v>2545</v>
      </c>
      <c r="H17" s="44">
        <f>INDEX(产销规划表!$B$5:$F$16,progress!D17+2,progress!C17)</f>
        <v>80</v>
      </c>
      <c r="I17" s="70" t="s">
        <v>3068</v>
      </c>
      <c r="J17" s="44">
        <v>1000</v>
      </c>
    </row>
    <row r="18" spans="1:10" x14ac:dyDescent="0.15">
      <c r="A18" s="31">
        <v>17</v>
      </c>
      <c r="B18" s="31" t="s">
        <v>147</v>
      </c>
      <c r="C18" s="35">
        <f>INDEX(monster!$D$2:$D$700,MATCH(progress!A18,monster!$A$2:$A$700,0))</f>
        <v>1</v>
      </c>
      <c r="D18" s="35">
        <f>INDEX(monster!$E$2:$E$700,MATCH(progress!A18,monster!$A$2:$A$700,0))</f>
        <v>5</v>
      </c>
      <c r="E18" s="44">
        <f>INDEX(产销规划表!$G$5:$K$16,progress!D18+2,progress!C18)</f>
        <v>10000</v>
      </c>
      <c r="F18" s="44">
        <v>2</v>
      </c>
      <c r="G18" s="31" t="s">
        <v>2545</v>
      </c>
      <c r="H18" s="44">
        <f>INDEX(产销规划表!$B$5:$F$16,progress!D18+2,progress!C18)</f>
        <v>120</v>
      </c>
      <c r="I18" s="70" t="s">
        <v>3068</v>
      </c>
      <c r="J18" s="44">
        <v>1625</v>
      </c>
    </row>
    <row r="19" spans="1:10" x14ac:dyDescent="0.15">
      <c r="A19" s="31">
        <v>18</v>
      </c>
      <c r="B19" s="31" t="s">
        <v>148</v>
      </c>
      <c r="C19" s="35">
        <f>INDEX(monster!$D$2:$D$700,MATCH(progress!A19,monster!$A$2:$A$700,0))</f>
        <v>1</v>
      </c>
      <c r="D19" s="35">
        <f>INDEX(monster!$E$2:$E$700,MATCH(progress!A19,monster!$A$2:$A$700,0))</f>
        <v>6</v>
      </c>
      <c r="E19" s="44">
        <f>INDEX(产销规划表!$G$5:$K$16,progress!D19+2,progress!C19)</f>
        <v>20000</v>
      </c>
      <c r="F19" s="44">
        <v>2</v>
      </c>
      <c r="G19" s="31" t="s">
        <v>2545</v>
      </c>
      <c r="H19" s="44">
        <f>INDEX(产销规划表!$B$5:$F$16,progress!D19+2,progress!C19)</f>
        <v>200</v>
      </c>
      <c r="I19" s="70" t="s">
        <v>3068</v>
      </c>
      <c r="J19" s="44">
        <v>2500</v>
      </c>
    </row>
    <row r="20" spans="1:10" x14ac:dyDescent="0.15">
      <c r="A20" s="31">
        <v>19</v>
      </c>
      <c r="B20" s="31" t="s">
        <v>149</v>
      </c>
      <c r="C20" s="35">
        <f>INDEX(monster!$D$2:$D$700,MATCH(progress!A20,monster!$A$2:$A$700,0))</f>
        <v>1</v>
      </c>
      <c r="D20" s="35">
        <f>INDEX(monster!$E$2:$E$700,MATCH(progress!A20,monster!$A$2:$A$700,0))</f>
        <v>7</v>
      </c>
      <c r="E20" s="44">
        <f>INDEX(产销规划表!$G$5:$K$16,progress!D20+2,progress!C20)</f>
        <v>40000</v>
      </c>
      <c r="F20" s="44">
        <v>2</v>
      </c>
      <c r="G20" s="31" t="s">
        <v>2545</v>
      </c>
      <c r="H20" s="44">
        <f>INDEX(产销规划表!$B$5:$F$16,progress!D20+2,progress!C20)</f>
        <v>350</v>
      </c>
      <c r="I20" s="70" t="s">
        <v>3068</v>
      </c>
      <c r="J20" s="44">
        <v>3750</v>
      </c>
    </row>
    <row r="21" spans="1:10" x14ac:dyDescent="0.15">
      <c r="A21" s="31">
        <v>20</v>
      </c>
      <c r="B21" s="31" t="s">
        <v>150</v>
      </c>
      <c r="C21" s="35">
        <f>INDEX(monster!$D$2:$D$700,MATCH(progress!A21,monster!$A$2:$A$700,0))</f>
        <v>1</v>
      </c>
      <c r="D21" s="35">
        <f>INDEX(monster!$E$2:$E$700,MATCH(progress!A21,monster!$A$2:$A$700,0))</f>
        <v>8</v>
      </c>
      <c r="E21" s="44">
        <f>INDEX(产销规划表!$G$5:$K$16,progress!D21+2,progress!C21)</f>
        <v>100000</v>
      </c>
      <c r="F21" s="44">
        <v>2</v>
      </c>
      <c r="G21" s="31" t="s">
        <v>2545</v>
      </c>
      <c r="H21" s="44">
        <f>INDEX(产销规划表!$B$5:$F$16,progress!D21+2,progress!C21)</f>
        <v>600</v>
      </c>
      <c r="I21" s="70" t="s">
        <v>3068</v>
      </c>
      <c r="J21" s="44">
        <v>5750</v>
      </c>
    </row>
    <row r="22" spans="1:10" x14ac:dyDescent="0.15">
      <c r="A22" s="35">
        <v>21</v>
      </c>
      <c r="B22" s="31" t="s">
        <v>151</v>
      </c>
      <c r="C22" s="35">
        <f>INDEX(monster!$D$2:$D$700,MATCH(progress!A22,monster!$A$2:$A$700,0))</f>
        <v>1</v>
      </c>
      <c r="D22" s="35">
        <f>INDEX(monster!$E$2:$E$700,MATCH(progress!A22,monster!$A$2:$A$700,0))</f>
        <v>9</v>
      </c>
      <c r="E22" s="44">
        <f>INDEX(产销规划表!$G$5:$K$16,progress!D22+2,progress!C22)</f>
        <v>200000</v>
      </c>
      <c r="F22" s="44">
        <v>2</v>
      </c>
      <c r="G22" s="31" t="s">
        <v>2545</v>
      </c>
      <c r="H22" s="44">
        <f>INDEX(产销规划表!$B$5:$F$16,progress!D22+2,progress!C22)</f>
        <v>1000</v>
      </c>
      <c r="I22" s="70" t="s">
        <v>3068</v>
      </c>
      <c r="J22" s="44">
        <v>9000</v>
      </c>
    </row>
    <row r="23" spans="1:10" x14ac:dyDescent="0.15">
      <c r="A23" s="35">
        <v>22</v>
      </c>
      <c r="B23" s="31" t="s">
        <v>152</v>
      </c>
      <c r="C23" s="35">
        <f>INDEX(monster!$D$2:$D$700,MATCH(progress!A23,monster!$A$2:$A$700,0))</f>
        <v>1</v>
      </c>
      <c r="D23" s="35">
        <f>INDEX(monster!$E$2:$E$700,MATCH(progress!A23,monster!$A$2:$A$700,0))</f>
        <v>10</v>
      </c>
      <c r="E23" s="44">
        <f>INDEX(产销规划表!$G$5:$K$16,progress!D23+2,progress!C23)</f>
        <v>-1</v>
      </c>
      <c r="F23" s="44">
        <v>2</v>
      </c>
      <c r="G23" s="31" t="s">
        <v>2545</v>
      </c>
      <c r="H23" s="44">
        <f>INDEX(产销规划表!$B$5:$F$16,progress!D23+2,progress!C23)</f>
        <v>-1</v>
      </c>
      <c r="I23" s="70" t="s">
        <v>3068</v>
      </c>
      <c r="J23" s="44">
        <v>-1</v>
      </c>
    </row>
    <row r="24" spans="1:10" x14ac:dyDescent="0.15">
      <c r="A24" s="35">
        <v>1001</v>
      </c>
      <c r="B24" s="31" t="s">
        <v>1770</v>
      </c>
      <c r="C24" s="35">
        <f>INDEX(monster!$D$2:$D$700,MATCH(progress!A24,monster!$A$2:$A$700,0))</f>
        <v>4</v>
      </c>
      <c r="D24" s="35">
        <f>INDEX(monster!$E$2:$E$700,MATCH(progress!A24,monster!$A$2:$A$700,0))</f>
        <v>0</v>
      </c>
      <c r="E24" s="44">
        <f>INDEX(产销规划表!$G$5:$K$16,progress!D24+2,progress!C24)</f>
        <v>4000</v>
      </c>
      <c r="F24" s="44">
        <v>2</v>
      </c>
      <c r="G24" s="44" t="s">
        <v>2546</v>
      </c>
      <c r="H24" s="44">
        <f>INDEX(产销规划表!$B$5:$F$16,progress!D24+2,progress!C24)</f>
        <v>5</v>
      </c>
      <c r="I24" s="70" t="s">
        <v>3068</v>
      </c>
      <c r="J24" s="44">
        <v>625</v>
      </c>
    </row>
    <row r="25" spans="1:10" x14ac:dyDescent="0.15">
      <c r="A25" s="35">
        <v>1002</v>
      </c>
      <c r="B25" s="31" t="s">
        <v>1771</v>
      </c>
      <c r="C25" s="35">
        <f>INDEX(monster!$D$2:$D$700,MATCH(progress!A25,monster!$A$2:$A$700,0))</f>
        <v>4</v>
      </c>
      <c r="D25" s="35">
        <f>INDEX(monster!$E$2:$E$700,MATCH(progress!A25,monster!$A$2:$A$700,0))</f>
        <v>1</v>
      </c>
      <c r="E25" s="44">
        <f>INDEX(产销规划表!$G$5:$K$16,progress!D25+2,progress!C25)</f>
        <v>10000</v>
      </c>
      <c r="F25" s="44">
        <v>2</v>
      </c>
      <c r="G25" s="70" t="s">
        <v>2546</v>
      </c>
      <c r="H25" s="44">
        <f>INDEX(产销规划表!$B$5:$F$16,progress!D25+2,progress!C25)</f>
        <v>10</v>
      </c>
      <c r="I25" s="70" t="s">
        <v>3068</v>
      </c>
      <c r="J25" s="44">
        <v>1000</v>
      </c>
    </row>
    <row r="26" spans="1:10" x14ac:dyDescent="0.15">
      <c r="A26" s="35">
        <v>1003</v>
      </c>
      <c r="B26" s="31" t="s">
        <v>153</v>
      </c>
      <c r="C26" s="35">
        <f>INDEX(monster!$D$2:$D$700,MATCH(progress!A26,monster!$A$2:$A$700,0))</f>
        <v>4</v>
      </c>
      <c r="D26" s="35">
        <f>INDEX(monster!$E$2:$E$700,MATCH(progress!A26,monster!$A$2:$A$700,0))</f>
        <v>2</v>
      </c>
      <c r="E26" s="44">
        <f>INDEX(产销规划表!$G$5:$K$16,progress!D26+2,progress!C26)</f>
        <v>20000</v>
      </c>
      <c r="F26" s="44">
        <v>2</v>
      </c>
      <c r="G26" s="70" t="s">
        <v>2546</v>
      </c>
      <c r="H26" s="44">
        <f>INDEX(产销规划表!$B$5:$F$16,progress!D26+2,progress!C26)</f>
        <v>20</v>
      </c>
      <c r="I26" s="70" t="s">
        <v>3068</v>
      </c>
      <c r="J26" s="44">
        <v>1500</v>
      </c>
    </row>
    <row r="27" spans="1:10" x14ac:dyDescent="0.15">
      <c r="A27" s="35">
        <v>1004</v>
      </c>
      <c r="B27" s="31" t="s">
        <v>154</v>
      </c>
      <c r="C27" s="35">
        <f>INDEX(monster!$D$2:$D$700,MATCH(progress!A27,monster!$A$2:$A$700,0))</f>
        <v>4</v>
      </c>
      <c r="D27" s="35">
        <f>INDEX(monster!$E$2:$E$700,MATCH(progress!A27,monster!$A$2:$A$700,0))</f>
        <v>3</v>
      </c>
      <c r="E27" s="44">
        <f>INDEX(产销规划表!$G$5:$K$16,progress!D27+2,progress!C27)</f>
        <v>40000</v>
      </c>
      <c r="F27" s="44">
        <v>2</v>
      </c>
      <c r="G27" s="70" t="s">
        <v>2546</v>
      </c>
      <c r="H27" s="44">
        <f>INDEX(产销规划表!$B$5:$F$16,progress!D27+2,progress!C27)</f>
        <v>50</v>
      </c>
      <c r="I27" s="70" t="s">
        <v>3068</v>
      </c>
      <c r="J27" s="44">
        <v>2500</v>
      </c>
    </row>
    <row r="28" spans="1:10" x14ac:dyDescent="0.15">
      <c r="A28" s="35">
        <v>1005</v>
      </c>
      <c r="B28" s="31" t="s">
        <v>155</v>
      </c>
      <c r="C28" s="35">
        <f>INDEX(monster!$D$2:$D$700,MATCH(progress!A28,monster!$A$2:$A$700,0))</f>
        <v>4</v>
      </c>
      <c r="D28" s="35">
        <f>INDEX(monster!$E$2:$E$700,MATCH(progress!A28,monster!$A$2:$A$700,0))</f>
        <v>4</v>
      </c>
      <c r="E28" s="44">
        <f>INDEX(产销规划表!$G$5:$K$16,progress!D28+2,progress!C28)</f>
        <v>100000</v>
      </c>
      <c r="F28" s="44">
        <v>2</v>
      </c>
      <c r="G28" s="70" t="s">
        <v>2546</v>
      </c>
      <c r="H28" s="44">
        <f>INDEX(产销规划表!$B$5:$F$16,progress!D28+2,progress!C28)</f>
        <v>80</v>
      </c>
      <c r="I28" s="70" t="s">
        <v>3068</v>
      </c>
      <c r="J28" s="44">
        <v>3750</v>
      </c>
    </row>
    <row r="29" spans="1:10" x14ac:dyDescent="0.15">
      <c r="A29" s="35">
        <v>1006</v>
      </c>
      <c r="B29" s="31" t="s">
        <v>156</v>
      </c>
      <c r="C29" s="35">
        <f>INDEX(monster!$D$2:$D$700,MATCH(progress!A29,monster!$A$2:$A$700,0))</f>
        <v>4</v>
      </c>
      <c r="D29" s="35">
        <f>INDEX(monster!$E$2:$E$700,MATCH(progress!A29,monster!$A$2:$A$700,0))</f>
        <v>5</v>
      </c>
      <c r="E29" s="44">
        <f>INDEX(产销规划表!$G$5:$K$16,progress!D29+2,progress!C29)</f>
        <v>200000</v>
      </c>
      <c r="F29" s="44">
        <v>2</v>
      </c>
      <c r="G29" s="70" t="s">
        <v>2546</v>
      </c>
      <c r="H29" s="44">
        <f>INDEX(产销规划表!$B$5:$F$16,progress!D29+2,progress!C29)</f>
        <v>120</v>
      </c>
      <c r="I29" s="70" t="s">
        <v>3068</v>
      </c>
      <c r="J29" s="44">
        <v>6250</v>
      </c>
    </row>
    <row r="30" spans="1:10" x14ac:dyDescent="0.15">
      <c r="A30" s="35">
        <v>1007</v>
      </c>
      <c r="B30" s="31" t="s">
        <v>157</v>
      </c>
      <c r="C30" s="35">
        <f>INDEX(monster!$D$2:$D$700,MATCH(progress!A30,monster!$A$2:$A$700,0))</f>
        <v>4</v>
      </c>
      <c r="D30" s="35">
        <f>INDEX(monster!$E$2:$E$700,MATCH(progress!A30,monster!$A$2:$A$700,0))</f>
        <v>6</v>
      </c>
      <c r="E30" s="44">
        <f>INDEX(产销规划表!$G$5:$K$16,progress!D30+2,progress!C30)</f>
        <v>500000</v>
      </c>
      <c r="F30" s="44">
        <v>2</v>
      </c>
      <c r="G30" s="70" t="s">
        <v>2546</v>
      </c>
      <c r="H30" s="44">
        <f>INDEX(产销规划表!$B$5:$F$16,progress!D30+2,progress!C30)</f>
        <v>200</v>
      </c>
      <c r="I30" s="70" t="s">
        <v>3068</v>
      </c>
      <c r="J30" s="44">
        <v>10000</v>
      </c>
    </row>
    <row r="31" spans="1:10" x14ac:dyDescent="0.15">
      <c r="A31" s="35">
        <v>1008</v>
      </c>
      <c r="B31" s="31" t="s">
        <v>158</v>
      </c>
      <c r="C31" s="35">
        <f>INDEX(monster!$D$2:$D$700,MATCH(progress!A31,monster!$A$2:$A$700,0))</f>
        <v>4</v>
      </c>
      <c r="D31" s="35">
        <f>INDEX(monster!$E$2:$E$700,MATCH(progress!A31,monster!$A$2:$A$700,0))</f>
        <v>7</v>
      </c>
      <c r="E31" s="44">
        <f>INDEX(产销规划表!$G$5:$K$16,progress!D31+2,progress!C31)</f>
        <v>1000000</v>
      </c>
      <c r="F31" s="44">
        <v>2</v>
      </c>
      <c r="G31" s="70" t="s">
        <v>2546</v>
      </c>
      <c r="H31" s="44">
        <f>INDEX(产销规划表!$B$5:$F$16,progress!D31+2,progress!C31)</f>
        <v>350</v>
      </c>
      <c r="I31" s="70" t="s">
        <v>3068</v>
      </c>
      <c r="J31" s="44">
        <v>15000</v>
      </c>
    </row>
    <row r="32" spans="1:10" x14ac:dyDescent="0.15">
      <c r="A32" s="35">
        <v>1009</v>
      </c>
      <c r="B32" s="31" t="s">
        <v>159</v>
      </c>
      <c r="C32" s="35">
        <f>INDEX(monster!$D$2:$D$700,MATCH(progress!A32,monster!$A$2:$A$700,0))</f>
        <v>4</v>
      </c>
      <c r="D32" s="35">
        <f>INDEX(monster!$E$2:$E$700,MATCH(progress!A32,monster!$A$2:$A$700,0))</f>
        <v>8</v>
      </c>
      <c r="E32" s="44">
        <f>INDEX(产销规划表!$G$5:$K$16,progress!D32+2,progress!C32)</f>
        <v>2000000</v>
      </c>
      <c r="F32" s="44">
        <v>2</v>
      </c>
      <c r="G32" s="70" t="s">
        <v>2546</v>
      </c>
      <c r="H32" s="44">
        <f>INDEX(产销规划表!$B$5:$F$16,progress!D32+2,progress!C32)</f>
        <v>600</v>
      </c>
      <c r="I32" s="70" t="s">
        <v>3068</v>
      </c>
      <c r="J32" s="44">
        <v>22500</v>
      </c>
    </row>
    <row r="33" spans="1:10" x14ac:dyDescent="0.15">
      <c r="A33" s="35">
        <v>1010</v>
      </c>
      <c r="B33" s="31" t="s">
        <v>160</v>
      </c>
      <c r="C33" s="35">
        <f>INDEX(monster!$D$2:$D$700,MATCH(progress!A33,monster!$A$2:$A$700,0))</f>
        <v>4</v>
      </c>
      <c r="D33" s="35">
        <f>INDEX(monster!$E$2:$E$700,MATCH(progress!A33,monster!$A$2:$A$700,0))</f>
        <v>9</v>
      </c>
      <c r="E33" s="44">
        <f>INDEX(产销规划表!$G$5:$K$16,progress!D33+2,progress!C33)</f>
        <v>5000000</v>
      </c>
      <c r="F33" s="44">
        <v>2</v>
      </c>
      <c r="G33" s="70" t="s">
        <v>2546</v>
      </c>
      <c r="H33" s="44">
        <f>INDEX(产销规划表!$B$5:$F$16,progress!D33+2,progress!C33)</f>
        <v>1000</v>
      </c>
      <c r="I33" s="70" t="s">
        <v>3068</v>
      </c>
      <c r="J33" s="44">
        <v>35000</v>
      </c>
    </row>
    <row r="34" spans="1:10" x14ac:dyDescent="0.15">
      <c r="A34" s="35">
        <v>1011</v>
      </c>
      <c r="B34" s="31" t="s">
        <v>1772</v>
      </c>
      <c r="C34" s="35">
        <f>INDEX(monster!$D$2:$D$700,MATCH(progress!A34,monster!$A$2:$A$700,0))</f>
        <v>4</v>
      </c>
      <c r="D34" s="35">
        <f>INDEX(monster!$E$2:$E$700,MATCH(progress!A34,monster!$A$2:$A$700,0))</f>
        <v>10</v>
      </c>
      <c r="E34" s="44">
        <f>INDEX(产销规划表!$G$5:$K$16,progress!D34+2,progress!C34)</f>
        <v>-1</v>
      </c>
      <c r="F34" s="44">
        <v>2</v>
      </c>
      <c r="G34" s="70" t="s">
        <v>2546</v>
      </c>
      <c r="H34" s="44">
        <f>INDEX(产销规划表!$B$5:$F$16,progress!D34+2,progress!C34)</f>
        <v>-1</v>
      </c>
      <c r="I34" s="70" t="s">
        <v>3068</v>
      </c>
      <c r="J34" s="44">
        <v>-1</v>
      </c>
    </row>
    <row r="35" spans="1:10" x14ac:dyDescent="0.15">
      <c r="A35" s="35">
        <v>1012</v>
      </c>
      <c r="B35" s="31" t="s">
        <v>1773</v>
      </c>
      <c r="C35" s="35">
        <f>INDEX(monster!$D$2:$D$700,MATCH(progress!A35,monster!$A$2:$A$700,0))</f>
        <v>3</v>
      </c>
      <c r="D35" s="35">
        <f>INDEX(monster!$E$2:$E$700,MATCH(progress!A35,monster!$A$2:$A$700,0))</f>
        <v>0</v>
      </c>
      <c r="E35" s="44">
        <f>INDEX(产销规划表!$G$5:$K$16,progress!D35+2,progress!C35)</f>
        <v>500</v>
      </c>
      <c r="F35" s="44">
        <v>2</v>
      </c>
      <c r="G35" s="44" t="s">
        <v>2547</v>
      </c>
      <c r="H35" s="44">
        <f>INDEX(产销规划表!$B$5:$F$16,progress!D35+2,progress!C35)</f>
        <v>5</v>
      </c>
      <c r="I35" s="70" t="s">
        <v>3068</v>
      </c>
      <c r="J35" s="44">
        <v>250</v>
      </c>
    </row>
    <row r="36" spans="1:10" x14ac:dyDescent="0.15">
      <c r="A36" s="35">
        <v>1013</v>
      </c>
      <c r="B36" s="31" t="s">
        <v>1774</v>
      </c>
      <c r="C36" s="35">
        <f>INDEX(monster!$D$2:$D$700,MATCH(progress!A36,monster!$A$2:$A$700,0))</f>
        <v>3</v>
      </c>
      <c r="D36" s="35">
        <f>INDEX(monster!$E$2:$E$700,MATCH(progress!A36,monster!$A$2:$A$700,0))</f>
        <v>1</v>
      </c>
      <c r="E36" s="44">
        <f>INDEX(产销规划表!$G$5:$K$16,progress!D36+2,progress!C36)</f>
        <v>1500</v>
      </c>
      <c r="F36" s="44">
        <v>2</v>
      </c>
      <c r="G36" s="70" t="s">
        <v>2547</v>
      </c>
      <c r="H36" s="44">
        <f>INDEX(产销规划表!$B$5:$F$16,progress!D36+2,progress!C36)</f>
        <v>10</v>
      </c>
      <c r="I36" s="70" t="s">
        <v>3068</v>
      </c>
      <c r="J36" s="44">
        <v>500</v>
      </c>
    </row>
    <row r="37" spans="1:10" x14ac:dyDescent="0.15">
      <c r="A37" s="35">
        <v>1014</v>
      </c>
      <c r="B37" s="31" t="s">
        <v>1775</v>
      </c>
      <c r="C37" s="35">
        <f>INDEX(monster!$D$2:$D$700,MATCH(progress!A37,monster!$A$2:$A$700,0))</f>
        <v>3</v>
      </c>
      <c r="D37" s="35">
        <f>INDEX(monster!$E$2:$E$700,MATCH(progress!A37,monster!$A$2:$A$700,0))</f>
        <v>2</v>
      </c>
      <c r="E37" s="44">
        <f>INDEX(产销规划表!$G$5:$K$16,progress!D37+2,progress!C37)</f>
        <v>4000</v>
      </c>
      <c r="F37" s="44">
        <v>2</v>
      </c>
      <c r="G37" s="70" t="s">
        <v>2547</v>
      </c>
      <c r="H37" s="44">
        <f>INDEX(产销规划表!$B$5:$F$16,progress!D37+2,progress!C37)</f>
        <v>20</v>
      </c>
      <c r="I37" s="70" t="s">
        <v>3068</v>
      </c>
      <c r="J37" s="44">
        <v>750</v>
      </c>
    </row>
    <row r="38" spans="1:10" x14ac:dyDescent="0.15">
      <c r="A38" s="35">
        <v>1015</v>
      </c>
      <c r="B38" s="31" t="s">
        <v>161</v>
      </c>
      <c r="C38" s="35">
        <f>INDEX(monster!$D$2:$D$700,MATCH(progress!A38,monster!$A$2:$A$700,0))</f>
        <v>3</v>
      </c>
      <c r="D38" s="35">
        <f>INDEX(monster!$E$2:$E$700,MATCH(progress!A38,monster!$A$2:$A$700,0))</f>
        <v>3</v>
      </c>
      <c r="E38" s="44">
        <f>INDEX(产销规划表!$G$5:$K$16,progress!D38+2,progress!C38)</f>
        <v>10000</v>
      </c>
      <c r="F38" s="44">
        <v>2</v>
      </c>
      <c r="G38" s="70" t="s">
        <v>2547</v>
      </c>
      <c r="H38" s="44">
        <f>INDEX(产销规划表!$B$5:$F$16,progress!D38+2,progress!C38)</f>
        <v>50</v>
      </c>
      <c r="I38" s="70" t="s">
        <v>3068</v>
      </c>
      <c r="J38" s="44">
        <v>1250</v>
      </c>
    </row>
    <row r="39" spans="1:10" x14ac:dyDescent="0.15">
      <c r="A39" s="35">
        <v>1016</v>
      </c>
      <c r="B39" s="31" t="s">
        <v>162</v>
      </c>
      <c r="C39" s="35">
        <f>INDEX(monster!$D$2:$D$700,MATCH(progress!A39,monster!$A$2:$A$700,0))</f>
        <v>3</v>
      </c>
      <c r="D39" s="35">
        <f>INDEX(monster!$E$2:$E$700,MATCH(progress!A39,monster!$A$2:$A$700,0))</f>
        <v>4</v>
      </c>
      <c r="E39" s="44">
        <f>INDEX(产销规划表!$G$5:$K$16,progress!D39+2,progress!C39)</f>
        <v>20000</v>
      </c>
      <c r="F39" s="44">
        <v>2</v>
      </c>
      <c r="G39" s="70" t="s">
        <v>2547</v>
      </c>
      <c r="H39" s="44">
        <f>INDEX(产销规划表!$B$5:$F$16,progress!D39+2,progress!C39)</f>
        <v>80</v>
      </c>
      <c r="I39" s="70" t="s">
        <v>3068</v>
      </c>
      <c r="J39" s="44">
        <v>2000</v>
      </c>
    </row>
    <row r="40" spans="1:10" x14ac:dyDescent="0.15">
      <c r="A40" s="35">
        <v>1017</v>
      </c>
      <c r="B40" s="31" t="s">
        <v>163</v>
      </c>
      <c r="C40" s="35">
        <f>INDEX(monster!$D$2:$D$700,MATCH(progress!A40,monster!$A$2:$A$700,0))</f>
        <v>3</v>
      </c>
      <c r="D40" s="35">
        <f>INDEX(monster!$E$2:$E$700,MATCH(progress!A40,monster!$A$2:$A$700,0))</f>
        <v>5</v>
      </c>
      <c r="E40" s="44">
        <f>INDEX(产销规划表!$G$5:$K$16,progress!D40+2,progress!C40)</f>
        <v>40000</v>
      </c>
      <c r="F40" s="44">
        <v>2</v>
      </c>
      <c r="G40" s="70" t="s">
        <v>2547</v>
      </c>
      <c r="H40" s="44">
        <f>INDEX(产销规划表!$B$5:$F$16,progress!D40+2,progress!C40)</f>
        <v>120</v>
      </c>
      <c r="I40" s="70" t="s">
        <v>3068</v>
      </c>
      <c r="J40" s="44">
        <v>3250</v>
      </c>
    </row>
    <row r="41" spans="1:10" x14ac:dyDescent="0.15">
      <c r="A41" s="35">
        <v>1018</v>
      </c>
      <c r="B41" s="31" t="s">
        <v>164</v>
      </c>
      <c r="C41" s="35">
        <f>INDEX(monster!$D$2:$D$700,MATCH(progress!A41,monster!$A$2:$A$700,0))</f>
        <v>3</v>
      </c>
      <c r="D41" s="35">
        <f>INDEX(monster!$E$2:$E$700,MATCH(progress!A41,monster!$A$2:$A$700,0))</f>
        <v>6</v>
      </c>
      <c r="E41" s="44">
        <f>INDEX(产销规划表!$G$5:$K$16,progress!D41+2,progress!C41)</f>
        <v>100000</v>
      </c>
      <c r="F41" s="44">
        <v>2</v>
      </c>
      <c r="G41" s="70" t="s">
        <v>2547</v>
      </c>
      <c r="H41" s="44">
        <f>INDEX(产销规划表!$B$5:$F$16,progress!D41+2,progress!C41)</f>
        <v>200</v>
      </c>
      <c r="I41" s="70" t="s">
        <v>3068</v>
      </c>
      <c r="J41" s="44">
        <v>5000</v>
      </c>
    </row>
    <row r="42" spans="1:10" x14ac:dyDescent="0.15">
      <c r="A42" s="35">
        <v>1019</v>
      </c>
      <c r="B42" s="31" t="s">
        <v>165</v>
      </c>
      <c r="C42" s="35">
        <f>INDEX(monster!$D$2:$D$700,MATCH(progress!A42,monster!$A$2:$A$700,0))</f>
        <v>3</v>
      </c>
      <c r="D42" s="35">
        <f>INDEX(monster!$E$2:$E$700,MATCH(progress!A42,monster!$A$2:$A$700,0))</f>
        <v>7</v>
      </c>
      <c r="E42" s="44">
        <f>INDEX(产销规划表!$G$5:$K$16,progress!D42+2,progress!C42)</f>
        <v>200000</v>
      </c>
      <c r="F42" s="44">
        <v>2</v>
      </c>
      <c r="G42" s="70" t="s">
        <v>2547</v>
      </c>
      <c r="H42" s="44">
        <f>INDEX(产销规划表!$B$5:$F$16,progress!D42+2,progress!C42)</f>
        <v>350</v>
      </c>
      <c r="I42" s="70" t="s">
        <v>3068</v>
      </c>
      <c r="J42" s="44">
        <v>7500</v>
      </c>
    </row>
    <row r="43" spans="1:10" x14ac:dyDescent="0.15">
      <c r="A43" s="35">
        <v>1020</v>
      </c>
      <c r="B43" s="31" t="s">
        <v>166</v>
      </c>
      <c r="C43" s="35">
        <f>INDEX(monster!$D$2:$D$700,MATCH(progress!A43,monster!$A$2:$A$700,0))</f>
        <v>3</v>
      </c>
      <c r="D43" s="35">
        <f>INDEX(monster!$E$2:$E$700,MATCH(progress!A43,monster!$A$2:$A$700,0))</f>
        <v>8</v>
      </c>
      <c r="E43" s="44">
        <f>INDEX(产销规划表!$G$5:$K$16,progress!D43+2,progress!C43)</f>
        <v>500000</v>
      </c>
      <c r="F43" s="44">
        <v>2</v>
      </c>
      <c r="G43" s="70" t="s">
        <v>2547</v>
      </c>
      <c r="H43" s="44">
        <f>INDEX(产销规划表!$B$5:$F$16,progress!D43+2,progress!C43)</f>
        <v>600</v>
      </c>
      <c r="I43" s="70" t="s">
        <v>3068</v>
      </c>
      <c r="J43" s="44">
        <v>11250</v>
      </c>
    </row>
    <row r="44" spans="1:10" x14ac:dyDescent="0.15">
      <c r="A44" s="35">
        <v>1021</v>
      </c>
      <c r="B44" s="31" t="s">
        <v>167</v>
      </c>
      <c r="C44" s="35">
        <f>INDEX(monster!$D$2:$D$700,MATCH(progress!A44,monster!$A$2:$A$700,0))</f>
        <v>3</v>
      </c>
      <c r="D44" s="35">
        <f>INDEX(monster!$E$2:$E$700,MATCH(progress!A44,monster!$A$2:$A$700,0))</f>
        <v>9</v>
      </c>
      <c r="E44" s="44">
        <f>INDEX(产销规划表!$G$5:$K$16,progress!D44+2,progress!C44)</f>
        <v>1000000</v>
      </c>
      <c r="F44" s="44">
        <v>2</v>
      </c>
      <c r="G44" s="70" t="s">
        <v>2547</v>
      </c>
      <c r="H44" s="44">
        <f>INDEX(产销规划表!$B$5:$F$16,progress!D44+2,progress!C44)</f>
        <v>1000</v>
      </c>
      <c r="I44" s="70" t="s">
        <v>3068</v>
      </c>
      <c r="J44" s="44">
        <v>18000</v>
      </c>
    </row>
    <row r="45" spans="1:10" x14ac:dyDescent="0.15">
      <c r="A45" s="35">
        <v>1022</v>
      </c>
      <c r="B45" s="31" t="s">
        <v>168</v>
      </c>
      <c r="C45" s="35">
        <f>INDEX(monster!$D$2:$D$700,MATCH(progress!A45,monster!$A$2:$A$700,0))</f>
        <v>3</v>
      </c>
      <c r="D45" s="35">
        <f>INDEX(monster!$E$2:$E$700,MATCH(progress!A45,monster!$A$2:$A$700,0))</f>
        <v>10</v>
      </c>
      <c r="E45" s="44">
        <f>INDEX(产销规划表!$G$5:$K$16,progress!D45+2,progress!C45)</f>
        <v>-1</v>
      </c>
      <c r="F45" s="44">
        <v>2</v>
      </c>
      <c r="G45" s="70" t="s">
        <v>2547</v>
      </c>
      <c r="H45" s="44">
        <f>INDEX(产销规划表!$B$5:$F$16,progress!D45+2,progress!C45)</f>
        <v>-1</v>
      </c>
      <c r="I45" s="70" t="s">
        <v>3068</v>
      </c>
      <c r="J45" s="44">
        <v>-1</v>
      </c>
    </row>
    <row r="46" spans="1:10" x14ac:dyDescent="0.15">
      <c r="A46" s="35">
        <v>1023</v>
      </c>
      <c r="B46" s="31" t="s">
        <v>1776</v>
      </c>
      <c r="C46" s="35">
        <f>INDEX(monster!$D$2:$D$700,MATCH(progress!A46,monster!$A$2:$A$700,0))</f>
        <v>1</v>
      </c>
      <c r="D46" s="35">
        <f>INDEX(monster!$E$2:$E$700,MATCH(progress!A46,monster!$A$2:$A$700,0))</f>
        <v>0</v>
      </c>
      <c r="E46" s="44">
        <f>INDEX(产销规划表!$G$5:$K$16,progress!D46+2,progress!C46)</f>
        <v>100</v>
      </c>
      <c r="F46" s="44">
        <v>2</v>
      </c>
      <c r="G46" s="44" t="s">
        <v>2548</v>
      </c>
      <c r="H46" s="44">
        <f>INDEX(产销规划表!$B$5:$F$16,progress!D46+2,progress!C46)</f>
        <v>5</v>
      </c>
      <c r="I46" s="70" t="s">
        <v>3068</v>
      </c>
      <c r="J46" s="44">
        <v>125</v>
      </c>
    </row>
    <row r="47" spans="1:10" x14ac:dyDescent="0.15">
      <c r="A47" s="35">
        <v>1024</v>
      </c>
      <c r="B47" s="31" t="s">
        <v>1777</v>
      </c>
      <c r="C47" s="35">
        <f>INDEX(monster!$D$2:$D$700,MATCH(progress!A47,monster!$A$2:$A$700,0))</f>
        <v>1</v>
      </c>
      <c r="D47" s="35">
        <f>INDEX(monster!$E$2:$E$700,MATCH(progress!A47,monster!$A$2:$A$700,0))</f>
        <v>1</v>
      </c>
      <c r="E47" s="44">
        <f>INDEX(产销规划表!$G$5:$K$16,progress!D47+2,progress!C47)</f>
        <v>200</v>
      </c>
      <c r="F47" s="44">
        <v>2</v>
      </c>
      <c r="G47" s="70" t="s">
        <v>2548</v>
      </c>
      <c r="H47" s="44">
        <f>INDEX(产销规划表!$B$5:$F$16,progress!D47+2,progress!C47)</f>
        <v>10</v>
      </c>
      <c r="I47" s="70" t="s">
        <v>3068</v>
      </c>
      <c r="J47" s="44">
        <v>250</v>
      </c>
    </row>
    <row r="48" spans="1:10" x14ac:dyDescent="0.15">
      <c r="A48" s="35">
        <v>1025</v>
      </c>
      <c r="B48" s="31" t="s">
        <v>169</v>
      </c>
      <c r="C48" s="35">
        <f>INDEX(monster!$D$2:$D$700,MATCH(progress!A48,monster!$A$2:$A$700,0))</f>
        <v>1</v>
      </c>
      <c r="D48" s="35">
        <f>INDEX(monster!$E$2:$E$700,MATCH(progress!A48,monster!$A$2:$A$700,0))</f>
        <v>2</v>
      </c>
      <c r="E48" s="44">
        <f>INDEX(产销规划表!$G$5:$K$16,progress!D48+2,progress!C48)</f>
        <v>500</v>
      </c>
      <c r="F48" s="44">
        <v>2</v>
      </c>
      <c r="G48" s="70" t="s">
        <v>2548</v>
      </c>
      <c r="H48" s="44">
        <f>INDEX(产销规划表!$B$5:$F$16,progress!D48+2,progress!C48)</f>
        <v>20</v>
      </c>
      <c r="I48" s="70" t="s">
        <v>3068</v>
      </c>
      <c r="J48" s="44">
        <v>375</v>
      </c>
    </row>
    <row r="49" spans="1:10" x14ac:dyDescent="0.15">
      <c r="A49" s="35">
        <v>1026</v>
      </c>
      <c r="B49" s="31" t="s">
        <v>170</v>
      </c>
      <c r="C49" s="35">
        <f>INDEX(monster!$D$2:$D$700,MATCH(progress!A49,monster!$A$2:$A$700,0))</f>
        <v>1</v>
      </c>
      <c r="D49" s="35">
        <f>INDEX(monster!$E$2:$E$700,MATCH(progress!A49,monster!$A$2:$A$700,0))</f>
        <v>3</v>
      </c>
      <c r="E49" s="44">
        <f>INDEX(产销规划表!$G$5:$K$16,progress!D49+2,progress!C49)</f>
        <v>1500</v>
      </c>
      <c r="F49" s="44">
        <v>2</v>
      </c>
      <c r="G49" s="70" t="s">
        <v>2548</v>
      </c>
      <c r="H49" s="44">
        <f>INDEX(产销规划表!$B$5:$F$16,progress!D49+2,progress!C49)</f>
        <v>50</v>
      </c>
      <c r="I49" s="70" t="s">
        <v>3068</v>
      </c>
      <c r="J49" s="44">
        <v>625</v>
      </c>
    </row>
    <row r="50" spans="1:10" x14ac:dyDescent="0.15">
      <c r="A50" s="35">
        <v>1027</v>
      </c>
      <c r="B50" s="31" t="s">
        <v>171</v>
      </c>
      <c r="C50" s="35">
        <f>INDEX(monster!$D$2:$D$700,MATCH(progress!A50,monster!$A$2:$A$700,0))</f>
        <v>1</v>
      </c>
      <c r="D50" s="35">
        <f>INDEX(monster!$E$2:$E$700,MATCH(progress!A50,monster!$A$2:$A$700,0))</f>
        <v>4</v>
      </c>
      <c r="E50" s="44">
        <f>INDEX(产销规划表!$G$5:$K$16,progress!D50+2,progress!C50)</f>
        <v>4000</v>
      </c>
      <c r="F50" s="44">
        <v>2</v>
      </c>
      <c r="G50" s="70" t="s">
        <v>2548</v>
      </c>
      <c r="H50" s="44">
        <f>INDEX(产销规划表!$B$5:$F$16,progress!D50+2,progress!C50)</f>
        <v>80</v>
      </c>
      <c r="I50" s="70" t="s">
        <v>3068</v>
      </c>
      <c r="J50" s="44">
        <v>1000</v>
      </c>
    </row>
    <row r="51" spans="1:10" x14ac:dyDescent="0.15">
      <c r="A51" s="35">
        <v>1028</v>
      </c>
      <c r="B51" s="31" t="s">
        <v>172</v>
      </c>
      <c r="C51" s="35">
        <f>INDEX(monster!$D$2:$D$700,MATCH(progress!A51,monster!$A$2:$A$700,0))</f>
        <v>1</v>
      </c>
      <c r="D51" s="35">
        <f>INDEX(monster!$E$2:$E$700,MATCH(progress!A51,monster!$A$2:$A$700,0))</f>
        <v>5</v>
      </c>
      <c r="E51" s="44">
        <f>INDEX(产销规划表!$G$5:$K$16,progress!D51+2,progress!C51)</f>
        <v>10000</v>
      </c>
      <c r="F51" s="44">
        <v>2</v>
      </c>
      <c r="G51" s="70" t="s">
        <v>2548</v>
      </c>
      <c r="H51" s="44">
        <f>INDEX(产销规划表!$B$5:$F$16,progress!D51+2,progress!C51)</f>
        <v>120</v>
      </c>
      <c r="I51" s="70" t="s">
        <v>3068</v>
      </c>
      <c r="J51" s="44">
        <v>1625</v>
      </c>
    </row>
    <row r="52" spans="1:10" x14ac:dyDescent="0.15">
      <c r="A52" s="35">
        <v>1029</v>
      </c>
      <c r="B52" s="31" t="s">
        <v>173</v>
      </c>
      <c r="C52" s="35">
        <f>INDEX(monster!$D$2:$D$700,MATCH(progress!A52,monster!$A$2:$A$700,0))</f>
        <v>1</v>
      </c>
      <c r="D52" s="35">
        <f>INDEX(monster!$E$2:$E$700,MATCH(progress!A52,monster!$A$2:$A$700,0))</f>
        <v>6</v>
      </c>
      <c r="E52" s="44">
        <f>INDEX(产销规划表!$G$5:$K$16,progress!D52+2,progress!C52)</f>
        <v>20000</v>
      </c>
      <c r="F52" s="44">
        <v>2</v>
      </c>
      <c r="G52" s="70" t="s">
        <v>2548</v>
      </c>
      <c r="H52" s="44">
        <f>INDEX(产销规划表!$B$5:$F$16,progress!D52+2,progress!C52)</f>
        <v>200</v>
      </c>
      <c r="I52" s="70" t="s">
        <v>3068</v>
      </c>
      <c r="J52" s="44">
        <v>2500</v>
      </c>
    </row>
    <row r="53" spans="1:10" x14ac:dyDescent="0.15">
      <c r="A53" s="35">
        <v>1030</v>
      </c>
      <c r="B53" s="31" t="s">
        <v>174</v>
      </c>
      <c r="C53" s="35">
        <f>INDEX(monster!$D$2:$D$700,MATCH(progress!A53,monster!$A$2:$A$700,0))</f>
        <v>1</v>
      </c>
      <c r="D53" s="35">
        <f>INDEX(monster!$E$2:$E$700,MATCH(progress!A53,monster!$A$2:$A$700,0))</f>
        <v>7</v>
      </c>
      <c r="E53" s="44">
        <f>INDEX(产销规划表!$G$5:$K$16,progress!D53+2,progress!C53)</f>
        <v>40000</v>
      </c>
      <c r="F53" s="44">
        <v>2</v>
      </c>
      <c r="G53" s="70" t="s">
        <v>2548</v>
      </c>
      <c r="H53" s="44">
        <f>INDEX(产销规划表!$B$5:$F$16,progress!D53+2,progress!C53)</f>
        <v>350</v>
      </c>
      <c r="I53" s="70" t="s">
        <v>3068</v>
      </c>
      <c r="J53" s="44">
        <v>3750</v>
      </c>
    </row>
    <row r="54" spans="1:10" x14ac:dyDescent="0.15">
      <c r="A54" s="35">
        <v>1031</v>
      </c>
      <c r="B54" s="31" t="s">
        <v>175</v>
      </c>
      <c r="C54" s="35">
        <f>INDEX(monster!$D$2:$D$700,MATCH(progress!A54,monster!$A$2:$A$700,0))</f>
        <v>1</v>
      </c>
      <c r="D54" s="35">
        <f>INDEX(monster!$E$2:$E$700,MATCH(progress!A54,monster!$A$2:$A$700,0))</f>
        <v>8</v>
      </c>
      <c r="E54" s="44">
        <f>INDEX(产销规划表!$G$5:$K$16,progress!D54+2,progress!C54)</f>
        <v>100000</v>
      </c>
      <c r="F54" s="44">
        <v>2</v>
      </c>
      <c r="G54" s="70" t="s">
        <v>2548</v>
      </c>
      <c r="H54" s="44">
        <f>INDEX(产销规划表!$B$5:$F$16,progress!D54+2,progress!C54)</f>
        <v>600</v>
      </c>
      <c r="I54" s="70" t="s">
        <v>3068</v>
      </c>
      <c r="J54" s="44">
        <v>5750</v>
      </c>
    </row>
    <row r="55" spans="1:10" x14ac:dyDescent="0.15">
      <c r="A55" s="35">
        <v>1032</v>
      </c>
      <c r="B55" s="31" t="s">
        <v>176</v>
      </c>
      <c r="C55" s="35">
        <f>INDEX(monster!$D$2:$D$700,MATCH(progress!A55,monster!$A$2:$A$700,0))</f>
        <v>1</v>
      </c>
      <c r="D55" s="35">
        <f>INDEX(monster!$E$2:$E$700,MATCH(progress!A55,monster!$A$2:$A$700,0))</f>
        <v>9</v>
      </c>
      <c r="E55" s="44">
        <f>INDEX(产销规划表!$G$5:$K$16,progress!D55+2,progress!C55)</f>
        <v>200000</v>
      </c>
      <c r="F55" s="44">
        <v>2</v>
      </c>
      <c r="G55" s="70" t="s">
        <v>2548</v>
      </c>
      <c r="H55" s="44">
        <f>INDEX(产销规划表!$B$5:$F$16,progress!D55+2,progress!C55)</f>
        <v>1000</v>
      </c>
      <c r="I55" s="70" t="s">
        <v>3068</v>
      </c>
      <c r="J55" s="44">
        <v>9000</v>
      </c>
    </row>
    <row r="56" spans="1:10" x14ac:dyDescent="0.15">
      <c r="A56" s="35">
        <v>1033</v>
      </c>
      <c r="B56" s="31" t="s">
        <v>177</v>
      </c>
      <c r="C56" s="35">
        <f>INDEX(monster!$D$2:$D$700,MATCH(progress!A56,monster!$A$2:$A$700,0))</f>
        <v>1</v>
      </c>
      <c r="D56" s="35">
        <f>INDEX(monster!$E$2:$E$700,MATCH(progress!A56,monster!$A$2:$A$700,0))</f>
        <v>10</v>
      </c>
      <c r="E56" s="44">
        <f>INDEX(产销规划表!$G$5:$K$16,progress!D56+2,progress!C56)</f>
        <v>-1</v>
      </c>
      <c r="F56" s="44">
        <v>2</v>
      </c>
      <c r="G56" s="70" t="s">
        <v>2548</v>
      </c>
      <c r="H56" s="44">
        <f>INDEX(产销规划表!$B$5:$F$16,progress!D56+2,progress!C56)</f>
        <v>-1</v>
      </c>
      <c r="I56" s="70" t="s">
        <v>3068</v>
      </c>
      <c r="J56" s="44">
        <v>-1</v>
      </c>
    </row>
    <row r="57" spans="1:10" x14ac:dyDescent="0.15">
      <c r="A57" s="35">
        <v>1034</v>
      </c>
      <c r="B57" s="31" t="s">
        <v>1778</v>
      </c>
      <c r="C57" s="35">
        <f>INDEX(monster!$D$2:$D$700,MATCH(progress!A57,monster!$A$2:$A$700,0))</f>
        <v>1</v>
      </c>
      <c r="D57" s="35">
        <f>INDEX(monster!$E$2:$E$700,MATCH(progress!A57,monster!$A$2:$A$700,0))</f>
        <v>0</v>
      </c>
      <c r="E57" s="44">
        <f>INDEX(产销规划表!$G$5:$K$16,progress!D57+2,progress!C57)</f>
        <v>100</v>
      </c>
      <c r="F57" s="44">
        <v>2</v>
      </c>
      <c r="G57" s="44" t="s">
        <v>2549</v>
      </c>
      <c r="H57" s="44">
        <f>INDEX(产销规划表!$B$5:$F$16,progress!D57+2,progress!C57)</f>
        <v>5</v>
      </c>
      <c r="I57" s="70" t="s">
        <v>3068</v>
      </c>
      <c r="J57" s="44">
        <v>125</v>
      </c>
    </row>
    <row r="58" spans="1:10" x14ac:dyDescent="0.15">
      <c r="A58" s="35">
        <v>1035</v>
      </c>
      <c r="B58" s="31" t="s">
        <v>1779</v>
      </c>
      <c r="C58" s="35">
        <f>INDEX(monster!$D$2:$D$700,MATCH(progress!A58,monster!$A$2:$A$700,0))</f>
        <v>1</v>
      </c>
      <c r="D58" s="35">
        <f>INDEX(monster!$E$2:$E$700,MATCH(progress!A58,monster!$A$2:$A$700,0))</f>
        <v>1</v>
      </c>
      <c r="E58" s="44">
        <f>INDEX(产销规划表!$G$5:$K$16,progress!D58+2,progress!C58)</f>
        <v>200</v>
      </c>
      <c r="F58" s="44">
        <v>2</v>
      </c>
      <c r="G58" s="70" t="s">
        <v>2549</v>
      </c>
      <c r="H58" s="44">
        <f>INDEX(产销规划表!$B$5:$F$16,progress!D58+2,progress!C58)</f>
        <v>10</v>
      </c>
      <c r="I58" s="70" t="s">
        <v>3068</v>
      </c>
      <c r="J58" s="44">
        <v>250</v>
      </c>
    </row>
    <row r="59" spans="1:10" x14ac:dyDescent="0.15">
      <c r="A59" s="35">
        <v>1036</v>
      </c>
      <c r="B59" s="31" t="s">
        <v>178</v>
      </c>
      <c r="C59" s="35">
        <f>INDEX(monster!$D$2:$D$700,MATCH(progress!A59,monster!$A$2:$A$700,0))</f>
        <v>1</v>
      </c>
      <c r="D59" s="35">
        <f>INDEX(monster!$E$2:$E$700,MATCH(progress!A59,monster!$A$2:$A$700,0))</f>
        <v>2</v>
      </c>
      <c r="E59" s="44">
        <f>INDEX(产销规划表!$G$5:$K$16,progress!D59+2,progress!C59)</f>
        <v>500</v>
      </c>
      <c r="F59" s="44">
        <v>2</v>
      </c>
      <c r="G59" s="70" t="s">
        <v>2549</v>
      </c>
      <c r="H59" s="44">
        <f>INDEX(产销规划表!$B$5:$F$16,progress!D59+2,progress!C59)</f>
        <v>20</v>
      </c>
      <c r="I59" s="70" t="s">
        <v>3068</v>
      </c>
      <c r="J59" s="44">
        <v>375</v>
      </c>
    </row>
    <row r="60" spans="1:10" x14ac:dyDescent="0.15">
      <c r="A60" s="35">
        <v>1037</v>
      </c>
      <c r="B60" s="31" t="s">
        <v>179</v>
      </c>
      <c r="C60" s="35">
        <f>INDEX(monster!$D$2:$D$700,MATCH(progress!A60,monster!$A$2:$A$700,0))</f>
        <v>1</v>
      </c>
      <c r="D60" s="35">
        <f>INDEX(monster!$E$2:$E$700,MATCH(progress!A60,monster!$A$2:$A$700,0))</f>
        <v>3</v>
      </c>
      <c r="E60" s="44">
        <f>INDEX(产销规划表!$G$5:$K$16,progress!D60+2,progress!C60)</f>
        <v>1500</v>
      </c>
      <c r="F60" s="44">
        <v>2</v>
      </c>
      <c r="G60" s="70" t="s">
        <v>2549</v>
      </c>
      <c r="H60" s="44">
        <f>INDEX(产销规划表!$B$5:$F$16,progress!D60+2,progress!C60)</f>
        <v>50</v>
      </c>
      <c r="I60" s="70" t="s">
        <v>3068</v>
      </c>
      <c r="J60" s="44">
        <v>625</v>
      </c>
    </row>
    <row r="61" spans="1:10" x14ac:dyDescent="0.15">
      <c r="A61" s="35">
        <v>1038</v>
      </c>
      <c r="B61" s="31" t="s">
        <v>180</v>
      </c>
      <c r="C61" s="35">
        <f>INDEX(monster!$D$2:$D$700,MATCH(progress!A61,monster!$A$2:$A$700,0))</f>
        <v>1</v>
      </c>
      <c r="D61" s="35">
        <f>INDEX(monster!$E$2:$E$700,MATCH(progress!A61,monster!$A$2:$A$700,0))</f>
        <v>4</v>
      </c>
      <c r="E61" s="44">
        <f>INDEX(产销规划表!$G$5:$K$16,progress!D61+2,progress!C61)</f>
        <v>4000</v>
      </c>
      <c r="F61" s="44">
        <v>2</v>
      </c>
      <c r="G61" s="70" t="s">
        <v>2549</v>
      </c>
      <c r="H61" s="44">
        <f>INDEX(产销规划表!$B$5:$F$16,progress!D61+2,progress!C61)</f>
        <v>80</v>
      </c>
      <c r="I61" s="70" t="s">
        <v>3068</v>
      </c>
      <c r="J61" s="44">
        <v>1000</v>
      </c>
    </row>
    <row r="62" spans="1:10" x14ac:dyDescent="0.15">
      <c r="A62" s="31">
        <v>1039</v>
      </c>
      <c r="B62" s="31" t="s">
        <v>181</v>
      </c>
      <c r="C62" s="35">
        <f>INDEX(monster!$D$2:$D$700,MATCH(progress!A62,monster!$A$2:$A$700,0))</f>
        <v>1</v>
      </c>
      <c r="D62" s="35">
        <f>INDEX(monster!$E$2:$E$700,MATCH(progress!A62,monster!$A$2:$A$700,0))</f>
        <v>5</v>
      </c>
      <c r="E62" s="44">
        <f>INDEX(产销规划表!$G$5:$K$16,progress!D62+2,progress!C62)</f>
        <v>10000</v>
      </c>
      <c r="F62" s="44">
        <v>2</v>
      </c>
      <c r="G62" s="70" t="s">
        <v>2549</v>
      </c>
      <c r="H62" s="44">
        <f>INDEX(产销规划表!$B$5:$F$16,progress!D62+2,progress!C62)</f>
        <v>120</v>
      </c>
      <c r="I62" s="70" t="s">
        <v>3068</v>
      </c>
      <c r="J62" s="44">
        <v>1625</v>
      </c>
    </row>
    <row r="63" spans="1:10" x14ac:dyDescent="0.15">
      <c r="A63" s="31">
        <v>1040</v>
      </c>
      <c r="B63" s="31" t="s">
        <v>182</v>
      </c>
      <c r="C63" s="35">
        <f>INDEX(monster!$D$2:$D$700,MATCH(progress!A63,monster!$A$2:$A$700,0))</f>
        <v>1</v>
      </c>
      <c r="D63" s="35">
        <f>INDEX(monster!$E$2:$E$700,MATCH(progress!A63,monster!$A$2:$A$700,0))</f>
        <v>6</v>
      </c>
      <c r="E63" s="44">
        <f>INDEX(产销规划表!$G$5:$K$16,progress!D63+2,progress!C63)</f>
        <v>20000</v>
      </c>
      <c r="F63" s="44">
        <v>2</v>
      </c>
      <c r="G63" s="70" t="s">
        <v>2549</v>
      </c>
      <c r="H63" s="44">
        <f>INDEX(产销规划表!$B$5:$F$16,progress!D63+2,progress!C63)</f>
        <v>200</v>
      </c>
      <c r="I63" s="70" t="s">
        <v>3068</v>
      </c>
      <c r="J63" s="44">
        <v>2500</v>
      </c>
    </row>
    <row r="64" spans="1:10" x14ac:dyDescent="0.15">
      <c r="A64" s="31">
        <v>1041</v>
      </c>
      <c r="B64" s="31" t="s">
        <v>183</v>
      </c>
      <c r="C64" s="35">
        <f>INDEX(monster!$D$2:$D$700,MATCH(progress!A64,monster!$A$2:$A$700,0))</f>
        <v>1</v>
      </c>
      <c r="D64" s="35">
        <f>INDEX(monster!$E$2:$E$700,MATCH(progress!A64,monster!$A$2:$A$700,0))</f>
        <v>7</v>
      </c>
      <c r="E64" s="44">
        <f>INDEX(产销规划表!$G$5:$K$16,progress!D64+2,progress!C64)</f>
        <v>40000</v>
      </c>
      <c r="F64" s="44">
        <v>2</v>
      </c>
      <c r="G64" s="70" t="s">
        <v>2549</v>
      </c>
      <c r="H64" s="44">
        <f>INDEX(产销规划表!$B$5:$F$16,progress!D64+2,progress!C64)</f>
        <v>350</v>
      </c>
      <c r="I64" s="70" t="s">
        <v>3068</v>
      </c>
      <c r="J64" s="44">
        <v>3750</v>
      </c>
    </row>
    <row r="65" spans="1:10" x14ac:dyDescent="0.15">
      <c r="A65" s="31">
        <v>1042</v>
      </c>
      <c r="B65" s="31" t="s">
        <v>184</v>
      </c>
      <c r="C65" s="35">
        <f>INDEX(monster!$D$2:$D$700,MATCH(progress!A65,monster!$A$2:$A$700,0))</f>
        <v>1</v>
      </c>
      <c r="D65" s="35">
        <f>INDEX(monster!$E$2:$E$700,MATCH(progress!A65,monster!$A$2:$A$700,0))</f>
        <v>8</v>
      </c>
      <c r="E65" s="44">
        <f>INDEX(产销规划表!$G$5:$K$16,progress!D65+2,progress!C65)</f>
        <v>100000</v>
      </c>
      <c r="F65" s="44">
        <v>2</v>
      </c>
      <c r="G65" s="70" t="s">
        <v>2549</v>
      </c>
      <c r="H65" s="44">
        <f>INDEX(产销规划表!$B$5:$F$16,progress!D65+2,progress!C65)</f>
        <v>600</v>
      </c>
      <c r="I65" s="70" t="s">
        <v>3068</v>
      </c>
      <c r="J65" s="44">
        <v>5750</v>
      </c>
    </row>
    <row r="66" spans="1:10" x14ac:dyDescent="0.15">
      <c r="A66" s="31">
        <v>1043</v>
      </c>
      <c r="B66" s="31" t="s">
        <v>185</v>
      </c>
      <c r="C66" s="35">
        <f>INDEX(monster!$D$2:$D$700,MATCH(progress!A66,monster!$A$2:$A$700,0))</f>
        <v>1</v>
      </c>
      <c r="D66" s="35">
        <f>INDEX(monster!$E$2:$E$700,MATCH(progress!A66,monster!$A$2:$A$700,0))</f>
        <v>9</v>
      </c>
      <c r="E66" s="44">
        <f>INDEX(产销规划表!$G$5:$K$16,progress!D66+2,progress!C66)</f>
        <v>200000</v>
      </c>
      <c r="F66" s="44">
        <v>2</v>
      </c>
      <c r="G66" s="70" t="s">
        <v>2549</v>
      </c>
      <c r="H66" s="44">
        <f>INDEX(产销规划表!$B$5:$F$16,progress!D66+2,progress!C66)</f>
        <v>1000</v>
      </c>
      <c r="I66" s="70" t="s">
        <v>3068</v>
      </c>
      <c r="J66" s="44">
        <v>9000</v>
      </c>
    </row>
    <row r="67" spans="1:10" x14ac:dyDescent="0.15">
      <c r="A67" s="31">
        <v>1044</v>
      </c>
      <c r="B67" s="31" t="s">
        <v>186</v>
      </c>
      <c r="C67" s="35">
        <f>INDEX(monster!$D$2:$D$700,MATCH(progress!A67,monster!$A$2:$A$700,0))</f>
        <v>1</v>
      </c>
      <c r="D67" s="35">
        <f>INDEX(monster!$E$2:$E$700,MATCH(progress!A67,monster!$A$2:$A$700,0))</f>
        <v>10</v>
      </c>
      <c r="E67" s="44">
        <f>INDEX(产销规划表!$G$5:$K$16,progress!D67+2,progress!C67)</f>
        <v>-1</v>
      </c>
      <c r="F67" s="44">
        <v>2</v>
      </c>
      <c r="G67" s="70" t="s">
        <v>2549</v>
      </c>
      <c r="H67" s="44">
        <f>INDEX(产销规划表!$B$5:$F$16,progress!D67+2,progress!C67)</f>
        <v>-1</v>
      </c>
      <c r="I67" s="70" t="s">
        <v>3068</v>
      </c>
      <c r="J67" s="44">
        <v>-1</v>
      </c>
    </row>
    <row r="68" spans="1:10" x14ac:dyDescent="0.15">
      <c r="A68" s="31">
        <v>1045</v>
      </c>
      <c r="B68" s="31" t="s">
        <v>1780</v>
      </c>
      <c r="C68" s="35">
        <f>INDEX(monster!$D$2:$D$700,MATCH(progress!A68,monster!$A$2:$A$700,0))</f>
        <v>3</v>
      </c>
      <c r="D68" s="35">
        <f>INDEX(monster!$E$2:$E$700,MATCH(progress!A68,monster!$A$2:$A$700,0))</f>
        <v>0</v>
      </c>
      <c r="E68" s="44">
        <f>INDEX(产销规划表!$G$5:$K$16,progress!D68+2,progress!C68)</f>
        <v>500</v>
      </c>
      <c r="F68" s="44">
        <v>2</v>
      </c>
      <c r="G68" s="44" t="s">
        <v>2550</v>
      </c>
      <c r="H68" s="44">
        <f>INDEX(产销规划表!$B$5:$F$16,progress!D68+2,progress!C68)</f>
        <v>5</v>
      </c>
      <c r="I68" s="70" t="s">
        <v>3068</v>
      </c>
      <c r="J68" s="44">
        <v>250</v>
      </c>
    </row>
    <row r="69" spans="1:10" x14ac:dyDescent="0.15">
      <c r="A69" s="31">
        <v>1046</v>
      </c>
      <c r="B69" s="31" t="s">
        <v>1781</v>
      </c>
      <c r="C69" s="35">
        <f>INDEX(monster!$D$2:$D$700,MATCH(progress!A69,monster!$A$2:$A$700,0))</f>
        <v>3</v>
      </c>
      <c r="D69" s="35">
        <f>INDEX(monster!$E$2:$E$700,MATCH(progress!A69,monster!$A$2:$A$700,0))</f>
        <v>1</v>
      </c>
      <c r="E69" s="44">
        <f>INDEX(产销规划表!$G$5:$K$16,progress!D69+2,progress!C69)</f>
        <v>1500</v>
      </c>
      <c r="F69" s="44">
        <v>2</v>
      </c>
      <c r="G69" s="70" t="s">
        <v>2550</v>
      </c>
      <c r="H69" s="44">
        <f>INDEX(产销规划表!$B$5:$F$16,progress!D69+2,progress!C69)</f>
        <v>10</v>
      </c>
      <c r="I69" s="70" t="s">
        <v>3068</v>
      </c>
      <c r="J69" s="44">
        <v>500</v>
      </c>
    </row>
    <row r="70" spans="1:10" x14ac:dyDescent="0.15">
      <c r="A70" s="31">
        <v>1047</v>
      </c>
      <c r="B70" s="31" t="s">
        <v>187</v>
      </c>
      <c r="C70" s="35">
        <f>INDEX(monster!$D$2:$D$700,MATCH(progress!A70,monster!$A$2:$A$700,0))</f>
        <v>3</v>
      </c>
      <c r="D70" s="35">
        <f>INDEX(monster!$E$2:$E$700,MATCH(progress!A70,monster!$A$2:$A$700,0))</f>
        <v>2</v>
      </c>
      <c r="E70" s="44">
        <f>INDEX(产销规划表!$G$5:$K$16,progress!D70+2,progress!C70)</f>
        <v>4000</v>
      </c>
      <c r="F70" s="44">
        <v>2</v>
      </c>
      <c r="G70" s="70" t="s">
        <v>2550</v>
      </c>
      <c r="H70" s="44">
        <f>INDEX(产销规划表!$B$5:$F$16,progress!D70+2,progress!C70)</f>
        <v>20</v>
      </c>
      <c r="I70" s="70" t="s">
        <v>3068</v>
      </c>
      <c r="J70" s="44">
        <v>750</v>
      </c>
    </row>
    <row r="71" spans="1:10" x14ac:dyDescent="0.15">
      <c r="A71" s="31">
        <v>1048</v>
      </c>
      <c r="B71" s="31" t="s">
        <v>188</v>
      </c>
      <c r="C71" s="35">
        <f>INDEX(monster!$D$2:$D$700,MATCH(progress!A71,monster!$A$2:$A$700,0))</f>
        <v>3</v>
      </c>
      <c r="D71" s="35">
        <f>INDEX(monster!$E$2:$E$700,MATCH(progress!A71,monster!$A$2:$A$700,0))</f>
        <v>3</v>
      </c>
      <c r="E71" s="44">
        <f>INDEX(产销规划表!$G$5:$K$16,progress!D71+2,progress!C71)</f>
        <v>10000</v>
      </c>
      <c r="F71" s="44">
        <v>2</v>
      </c>
      <c r="G71" s="70" t="s">
        <v>2550</v>
      </c>
      <c r="H71" s="44">
        <f>INDEX(产销规划表!$B$5:$F$16,progress!D71+2,progress!C71)</f>
        <v>50</v>
      </c>
      <c r="I71" s="70" t="s">
        <v>3068</v>
      </c>
      <c r="J71" s="44">
        <v>1250</v>
      </c>
    </row>
    <row r="72" spans="1:10" x14ac:dyDescent="0.15">
      <c r="A72" s="31">
        <v>1049</v>
      </c>
      <c r="B72" s="31" t="s">
        <v>189</v>
      </c>
      <c r="C72" s="35">
        <f>INDEX(monster!$D$2:$D$700,MATCH(progress!A72,monster!$A$2:$A$700,0))</f>
        <v>3</v>
      </c>
      <c r="D72" s="35">
        <f>INDEX(monster!$E$2:$E$700,MATCH(progress!A72,monster!$A$2:$A$700,0))</f>
        <v>4</v>
      </c>
      <c r="E72" s="44">
        <f>INDEX(产销规划表!$G$5:$K$16,progress!D72+2,progress!C72)</f>
        <v>20000</v>
      </c>
      <c r="F72" s="44">
        <v>2</v>
      </c>
      <c r="G72" s="70" t="s">
        <v>2550</v>
      </c>
      <c r="H72" s="44">
        <f>INDEX(产销规划表!$B$5:$F$16,progress!D72+2,progress!C72)</f>
        <v>80</v>
      </c>
      <c r="I72" s="70" t="s">
        <v>3068</v>
      </c>
      <c r="J72" s="44">
        <v>2000</v>
      </c>
    </row>
    <row r="73" spans="1:10" x14ac:dyDescent="0.15">
      <c r="A73" s="31">
        <v>1050</v>
      </c>
      <c r="B73" s="31" t="s">
        <v>190</v>
      </c>
      <c r="C73" s="35">
        <f>INDEX(monster!$D$2:$D$700,MATCH(progress!A73,monster!$A$2:$A$700,0))</f>
        <v>3</v>
      </c>
      <c r="D73" s="35">
        <f>INDEX(monster!$E$2:$E$700,MATCH(progress!A73,monster!$A$2:$A$700,0))</f>
        <v>5</v>
      </c>
      <c r="E73" s="44">
        <f>INDEX(产销规划表!$G$5:$K$16,progress!D73+2,progress!C73)</f>
        <v>40000</v>
      </c>
      <c r="F73" s="44">
        <v>2</v>
      </c>
      <c r="G73" s="70" t="s">
        <v>2550</v>
      </c>
      <c r="H73" s="44">
        <f>INDEX(产销规划表!$B$5:$F$16,progress!D73+2,progress!C73)</f>
        <v>120</v>
      </c>
      <c r="I73" s="70" t="s">
        <v>3068</v>
      </c>
      <c r="J73" s="44">
        <v>3250</v>
      </c>
    </row>
    <row r="74" spans="1:10" x14ac:dyDescent="0.15">
      <c r="A74" s="31">
        <v>1051</v>
      </c>
      <c r="B74" s="31" t="s">
        <v>191</v>
      </c>
      <c r="C74" s="35">
        <f>INDEX(monster!$D$2:$D$700,MATCH(progress!A74,monster!$A$2:$A$700,0))</f>
        <v>3</v>
      </c>
      <c r="D74" s="35">
        <f>INDEX(monster!$E$2:$E$700,MATCH(progress!A74,monster!$A$2:$A$700,0))</f>
        <v>6</v>
      </c>
      <c r="E74" s="44">
        <f>INDEX(产销规划表!$G$5:$K$16,progress!D74+2,progress!C74)</f>
        <v>100000</v>
      </c>
      <c r="F74" s="44">
        <v>2</v>
      </c>
      <c r="G74" s="70" t="s">
        <v>2550</v>
      </c>
      <c r="H74" s="44">
        <f>INDEX(产销规划表!$B$5:$F$16,progress!D74+2,progress!C74)</f>
        <v>200</v>
      </c>
      <c r="I74" s="70" t="s">
        <v>3068</v>
      </c>
      <c r="J74" s="44">
        <v>5000</v>
      </c>
    </row>
    <row r="75" spans="1:10" x14ac:dyDescent="0.15">
      <c r="A75" s="31">
        <v>1052</v>
      </c>
      <c r="B75" s="31" t="s">
        <v>192</v>
      </c>
      <c r="C75" s="35">
        <f>INDEX(monster!$D$2:$D$700,MATCH(progress!A75,monster!$A$2:$A$700,0))</f>
        <v>3</v>
      </c>
      <c r="D75" s="35">
        <f>INDEX(monster!$E$2:$E$700,MATCH(progress!A75,monster!$A$2:$A$700,0))</f>
        <v>7</v>
      </c>
      <c r="E75" s="44">
        <f>INDEX(产销规划表!$G$5:$K$16,progress!D75+2,progress!C75)</f>
        <v>200000</v>
      </c>
      <c r="F75" s="44">
        <v>2</v>
      </c>
      <c r="G75" s="70" t="s">
        <v>2550</v>
      </c>
      <c r="H75" s="44">
        <f>INDEX(产销规划表!$B$5:$F$16,progress!D75+2,progress!C75)</f>
        <v>350</v>
      </c>
      <c r="I75" s="70" t="s">
        <v>3068</v>
      </c>
      <c r="J75" s="44">
        <v>7500</v>
      </c>
    </row>
    <row r="76" spans="1:10" x14ac:dyDescent="0.15">
      <c r="A76" s="31">
        <v>1053</v>
      </c>
      <c r="B76" s="31" t="s">
        <v>193</v>
      </c>
      <c r="C76" s="35">
        <f>INDEX(monster!$D$2:$D$700,MATCH(progress!A76,monster!$A$2:$A$700,0))</f>
        <v>3</v>
      </c>
      <c r="D76" s="35">
        <f>INDEX(monster!$E$2:$E$700,MATCH(progress!A76,monster!$A$2:$A$700,0))</f>
        <v>8</v>
      </c>
      <c r="E76" s="44">
        <f>INDEX(产销规划表!$G$5:$K$16,progress!D76+2,progress!C76)</f>
        <v>500000</v>
      </c>
      <c r="F76" s="44">
        <v>2</v>
      </c>
      <c r="G76" s="70" t="s">
        <v>2550</v>
      </c>
      <c r="H76" s="44">
        <f>INDEX(产销规划表!$B$5:$F$16,progress!D76+2,progress!C76)</f>
        <v>600</v>
      </c>
      <c r="I76" s="70" t="s">
        <v>3068</v>
      </c>
      <c r="J76" s="44">
        <v>11250</v>
      </c>
    </row>
    <row r="77" spans="1:10" x14ac:dyDescent="0.15">
      <c r="A77" s="31">
        <v>1054</v>
      </c>
      <c r="B77" s="31" t="s">
        <v>194</v>
      </c>
      <c r="C77" s="35">
        <f>INDEX(monster!$D$2:$D$700,MATCH(progress!A77,monster!$A$2:$A$700,0))</f>
        <v>3</v>
      </c>
      <c r="D77" s="35">
        <f>INDEX(monster!$E$2:$E$700,MATCH(progress!A77,monster!$A$2:$A$700,0))</f>
        <v>9</v>
      </c>
      <c r="E77" s="44">
        <f>INDEX(产销规划表!$G$5:$K$16,progress!D77+2,progress!C77)</f>
        <v>1000000</v>
      </c>
      <c r="F77" s="44">
        <v>2</v>
      </c>
      <c r="G77" s="70" t="s">
        <v>2550</v>
      </c>
      <c r="H77" s="44">
        <f>INDEX(产销规划表!$B$5:$F$16,progress!D77+2,progress!C77)</f>
        <v>1000</v>
      </c>
      <c r="I77" s="70" t="s">
        <v>3068</v>
      </c>
      <c r="J77" s="44">
        <v>18000</v>
      </c>
    </row>
    <row r="78" spans="1:10" x14ac:dyDescent="0.15">
      <c r="A78" s="31">
        <v>1055</v>
      </c>
      <c r="B78" s="31" t="s">
        <v>195</v>
      </c>
      <c r="C78" s="35">
        <f>INDEX(monster!$D$2:$D$700,MATCH(progress!A78,monster!$A$2:$A$700,0))</f>
        <v>3</v>
      </c>
      <c r="D78" s="35">
        <f>INDEX(monster!$E$2:$E$700,MATCH(progress!A78,monster!$A$2:$A$700,0))</f>
        <v>10</v>
      </c>
      <c r="E78" s="44">
        <f>INDEX(产销规划表!$G$5:$K$16,progress!D78+2,progress!C78)</f>
        <v>-1</v>
      </c>
      <c r="F78" s="44">
        <v>2</v>
      </c>
      <c r="G78" s="70" t="s">
        <v>2550</v>
      </c>
      <c r="H78" s="44">
        <f>INDEX(产销规划表!$B$5:$F$16,progress!D78+2,progress!C78)</f>
        <v>-1</v>
      </c>
      <c r="I78" s="70" t="s">
        <v>3068</v>
      </c>
      <c r="J78" s="44">
        <v>-1</v>
      </c>
    </row>
    <row r="79" spans="1:10" x14ac:dyDescent="0.15">
      <c r="A79" s="31">
        <v>1056</v>
      </c>
      <c r="B79" s="31" t="s">
        <v>1782</v>
      </c>
      <c r="C79" s="35">
        <f>INDEX(monster!$D$2:$D$700,MATCH(progress!A79,monster!$A$2:$A$700,0))</f>
        <v>1</v>
      </c>
      <c r="D79" s="35">
        <f>INDEX(monster!$E$2:$E$700,MATCH(progress!A79,monster!$A$2:$A$700,0))</f>
        <v>0</v>
      </c>
      <c r="E79" s="44">
        <f>INDEX(产销规划表!$G$5:$K$16,progress!D79+2,progress!C79)</f>
        <v>100</v>
      </c>
      <c r="F79" s="44">
        <v>2</v>
      </c>
      <c r="G79" s="44" t="s">
        <v>2551</v>
      </c>
      <c r="H79" s="44">
        <f>INDEX(产销规划表!$B$5:$F$16,progress!D79+2,progress!C79)</f>
        <v>5</v>
      </c>
      <c r="I79" s="70" t="s">
        <v>3068</v>
      </c>
      <c r="J79" s="44">
        <v>125</v>
      </c>
    </row>
    <row r="80" spans="1:10" x14ac:dyDescent="0.15">
      <c r="A80" s="31">
        <v>1057</v>
      </c>
      <c r="B80" s="31" t="s">
        <v>1783</v>
      </c>
      <c r="C80" s="35">
        <f>INDEX(monster!$D$2:$D$700,MATCH(progress!A80,monster!$A$2:$A$700,0))</f>
        <v>1</v>
      </c>
      <c r="D80" s="35">
        <f>INDEX(monster!$E$2:$E$700,MATCH(progress!A80,monster!$A$2:$A$700,0))</f>
        <v>1</v>
      </c>
      <c r="E80" s="44">
        <f>INDEX(产销规划表!$G$5:$K$16,progress!D80+2,progress!C80)</f>
        <v>200</v>
      </c>
      <c r="F80" s="44">
        <v>2</v>
      </c>
      <c r="G80" s="70" t="s">
        <v>2551</v>
      </c>
      <c r="H80" s="44">
        <f>INDEX(产销规划表!$B$5:$F$16,progress!D80+2,progress!C80)</f>
        <v>10</v>
      </c>
      <c r="I80" s="70" t="s">
        <v>3068</v>
      </c>
      <c r="J80" s="44">
        <v>250</v>
      </c>
    </row>
    <row r="81" spans="1:10" x14ac:dyDescent="0.15">
      <c r="A81" s="31">
        <v>1058</v>
      </c>
      <c r="B81" s="31" t="s">
        <v>196</v>
      </c>
      <c r="C81" s="35">
        <f>INDEX(monster!$D$2:$D$700,MATCH(progress!A81,monster!$A$2:$A$700,0))</f>
        <v>1</v>
      </c>
      <c r="D81" s="35">
        <f>INDEX(monster!$E$2:$E$700,MATCH(progress!A81,monster!$A$2:$A$700,0))</f>
        <v>2</v>
      </c>
      <c r="E81" s="44">
        <f>INDEX(产销规划表!$G$5:$K$16,progress!D81+2,progress!C81)</f>
        <v>500</v>
      </c>
      <c r="F81" s="44">
        <v>2</v>
      </c>
      <c r="G81" s="70" t="s">
        <v>2551</v>
      </c>
      <c r="H81" s="44">
        <f>INDEX(产销规划表!$B$5:$F$16,progress!D81+2,progress!C81)</f>
        <v>20</v>
      </c>
      <c r="I81" s="70" t="s">
        <v>3068</v>
      </c>
      <c r="J81" s="44">
        <v>375</v>
      </c>
    </row>
    <row r="82" spans="1:10" x14ac:dyDescent="0.15">
      <c r="A82" s="31">
        <v>1059</v>
      </c>
      <c r="B82" s="31" t="s">
        <v>197</v>
      </c>
      <c r="C82" s="35">
        <f>INDEX(monster!$D$2:$D$700,MATCH(progress!A82,monster!$A$2:$A$700,0))</f>
        <v>1</v>
      </c>
      <c r="D82" s="35">
        <f>INDEX(monster!$E$2:$E$700,MATCH(progress!A82,monster!$A$2:$A$700,0))</f>
        <v>3</v>
      </c>
      <c r="E82" s="44">
        <f>INDEX(产销规划表!$G$5:$K$16,progress!D82+2,progress!C82)</f>
        <v>1500</v>
      </c>
      <c r="F82" s="44">
        <v>2</v>
      </c>
      <c r="G82" s="70" t="s">
        <v>2551</v>
      </c>
      <c r="H82" s="44">
        <f>INDEX(产销规划表!$B$5:$F$16,progress!D82+2,progress!C82)</f>
        <v>50</v>
      </c>
      <c r="I82" s="70" t="s">
        <v>3068</v>
      </c>
      <c r="J82" s="44">
        <v>625</v>
      </c>
    </row>
    <row r="83" spans="1:10" x14ac:dyDescent="0.15">
      <c r="A83" s="31">
        <v>1060</v>
      </c>
      <c r="B83" s="31" t="s">
        <v>198</v>
      </c>
      <c r="C83" s="35">
        <f>INDEX(monster!$D$2:$D$700,MATCH(progress!A83,monster!$A$2:$A$700,0))</f>
        <v>1</v>
      </c>
      <c r="D83" s="35">
        <f>INDEX(monster!$E$2:$E$700,MATCH(progress!A83,monster!$A$2:$A$700,0))</f>
        <v>4</v>
      </c>
      <c r="E83" s="44">
        <f>INDEX(产销规划表!$G$5:$K$16,progress!D83+2,progress!C83)</f>
        <v>4000</v>
      </c>
      <c r="F83" s="44">
        <v>2</v>
      </c>
      <c r="G83" s="70" t="s">
        <v>2551</v>
      </c>
      <c r="H83" s="44">
        <f>INDEX(产销规划表!$B$5:$F$16,progress!D83+2,progress!C83)</f>
        <v>80</v>
      </c>
      <c r="I83" s="70" t="s">
        <v>3068</v>
      </c>
      <c r="J83" s="44">
        <v>1000</v>
      </c>
    </row>
    <row r="84" spans="1:10" x14ac:dyDescent="0.15">
      <c r="A84" s="31">
        <v>1061</v>
      </c>
      <c r="B84" s="31" t="s">
        <v>199</v>
      </c>
      <c r="C84" s="35">
        <f>INDEX(monster!$D$2:$D$700,MATCH(progress!A84,monster!$A$2:$A$700,0))</f>
        <v>1</v>
      </c>
      <c r="D84" s="35">
        <f>INDEX(monster!$E$2:$E$700,MATCH(progress!A84,monster!$A$2:$A$700,0))</f>
        <v>5</v>
      </c>
      <c r="E84" s="44">
        <f>INDEX(产销规划表!$G$5:$K$16,progress!D84+2,progress!C84)</f>
        <v>10000</v>
      </c>
      <c r="F84" s="44">
        <v>2</v>
      </c>
      <c r="G84" s="70" t="s">
        <v>2551</v>
      </c>
      <c r="H84" s="44">
        <f>INDEX(产销规划表!$B$5:$F$16,progress!D84+2,progress!C84)</f>
        <v>120</v>
      </c>
      <c r="I84" s="70" t="s">
        <v>3068</v>
      </c>
      <c r="J84" s="44">
        <v>1625</v>
      </c>
    </row>
    <row r="85" spans="1:10" x14ac:dyDescent="0.15">
      <c r="A85" s="31">
        <v>1062</v>
      </c>
      <c r="B85" s="31" t="s">
        <v>200</v>
      </c>
      <c r="C85" s="35">
        <f>INDEX(monster!$D$2:$D$700,MATCH(progress!A85,monster!$A$2:$A$700,0))</f>
        <v>1</v>
      </c>
      <c r="D85" s="35">
        <f>INDEX(monster!$E$2:$E$700,MATCH(progress!A85,monster!$A$2:$A$700,0))</f>
        <v>6</v>
      </c>
      <c r="E85" s="44">
        <f>INDEX(产销规划表!$G$5:$K$16,progress!D85+2,progress!C85)</f>
        <v>20000</v>
      </c>
      <c r="F85" s="44">
        <v>2</v>
      </c>
      <c r="G85" s="70" t="s">
        <v>2551</v>
      </c>
      <c r="H85" s="44">
        <f>INDEX(产销规划表!$B$5:$F$16,progress!D85+2,progress!C85)</f>
        <v>200</v>
      </c>
      <c r="I85" s="70" t="s">
        <v>3068</v>
      </c>
      <c r="J85" s="44">
        <v>2500</v>
      </c>
    </row>
    <row r="86" spans="1:10" x14ac:dyDescent="0.15">
      <c r="A86" s="31">
        <v>1063</v>
      </c>
      <c r="B86" s="31" t="s">
        <v>201</v>
      </c>
      <c r="C86" s="35">
        <f>INDEX(monster!$D$2:$D$700,MATCH(progress!A86,monster!$A$2:$A$700,0))</f>
        <v>1</v>
      </c>
      <c r="D86" s="35">
        <f>INDEX(monster!$E$2:$E$700,MATCH(progress!A86,monster!$A$2:$A$700,0))</f>
        <v>7</v>
      </c>
      <c r="E86" s="44">
        <f>INDEX(产销规划表!$G$5:$K$16,progress!D86+2,progress!C86)</f>
        <v>40000</v>
      </c>
      <c r="F86" s="44">
        <v>2</v>
      </c>
      <c r="G86" s="70" t="s">
        <v>2551</v>
      </c>
      <c r="H86" s="44">
        <f>INDEX(产销规划表!$B$5:$F$16,progress!D86+2,progress!C86)</f>
        <v>350</v>
      </c>
      <c r="I86" s="70" t="s">
        <v>3068</v>
      </c>
      <c r="J86" s="44">
        <v>3750</v>
      </c>
    </row>
    <row r="87" spans="1:10" x14ac:dyDescent="0.15">
      <c r="A87" s="31">
        <v>1064</v>
      </c>
      <c r="B87" s="31" t="s">
        <v>202</v>
      </c>
      <c r="C87" s="35">
        <f>INDEX(monster!$D$2:$D$700,MATCH(progress!A87,monster!$A$2:$A$700,0))</f>
        <v>1</v>
      </c>
      <c r="D87" s="35">
        <f>INDEX(monster!$E$2:$E$700,MATCH(progress!A87,monster!$A$2:$A$700,0))</f>
        <v>8</v>
      </c>
      <c r="E87" s="44">
        <f>INDEX(产销规划表!$G$5:$K$16,progress!D87+2,progress!C87)</f>
        <v>100000</v>
      </c>
      <c r="F87" s="44">
        <v>2</v>
      </c>
      <c r="G87" s="70" t="s">
        <v>2551</v>
      </c>
      <c r="H87" s="44">
        <f>INDEX(产销规划表!$B$5:$F$16,progress!D87+2,progress!C87)</f>
        <v>600</v>
      </c>
      <c r="I87" s="70" t="s">
        <v>3068</v>
      </c>
      <c r="J87" s="44">
        <v>5750</v>
      </c>
    </row>
    <row r="88" spans="1:10" x14ac:dyDescent="0.15">
      <c r="A88" s="31">
        <v>1065</v>
      </c>
      <c r="B88" s="31" t="s">
        <v>203</v>
      </c>
      <c r="C88" s="35">
        <f>INDEX(monster!$D$2:$D$700,MATCH(progress!A88,monster!$A$2:$A$700,0))</f>
        <v>1</v>
      </c>
      <c r="D88" s="35">
        <f>INDEX(monster!$E$2:$E$700,MATCH(progress!A88,monster!$A$2:$A$700,0))</f>
        <v>9</v>
      </c>
      <c r="E88" s="44">
        <f>INDEX(产销规划表!$G$5:$K$16,progress!D88+2,progress!C88)</f>
        <v>200000</v>
      </c>
      <c r="F88" s="44">
        <v>2</v>
      </c>
      <c r="G88" s="70" t="s">
        <v>2551</v>
      </c>
      <c r="H88" s="44">
        <f>INDEX(产销规划表!$B$5:$F$16,progress!D88+2,progress!C88)</f>
        <v>1000</v>
      </c>
      <c r="I88" s="70" t="s">
        <v>3068</v>
      </c>
      <c r="J88" s="44">
        <v>9000</v>
      </c>
    </row>
    <row r="89" spans="1:10" x14ac:dyDescent="0.15">
      <c r="A89" s="31">
        <v>1066</v>
      </c>
      <c r="B89" s="31" t="s">
        <v>204</v>
      </c>
      <c r="C89" s="35">
        <f>INDEX(monster!$D$2:$D$700,MATCH(progress!A89,monster!$A$2:$A$700,0))</f>
        <v>1</v>
      </c>
      <c r="D89" s="35">
        <f>INDEX(monster!$E$2:$E$700,MATCH(progress!A89,monster!$A$2:$A$700,0))</f>
        <v>10</v>
      </c>
      <c r="E89" s="44">
        <f>INDEX(产销规划表!$G$5:$K$16,progress!D89+2,progress!C89)</f>
        <v>-1</v>
      </c>
      <c r="F89" s="44">
        <v>2</v>
      </c>
      <c r="G89" s="70" t="s">
        <v>2551</v>
      </c>
      <c r="H89" s="44">
        <f>INDEX(产销规划表!$B$5:$F$16,progress!D89+2,progress!C89)</f>
        <v>-1</v>
      </c>
      <c r="I89" s="70" t="s">
        <v>3068</v>
      </c>
      <c r="J89" s="44">
        <v>-1</v>
      </c>
    </row>
    <row r="90" spans="1:10" x14ac:dyDescent="0.15">
      <c r="A90" s="31">
        <v>1067</v>
      </c>
      <c r="B90" s="31" t="s">
        <v>1784</v>
      </c>
      <c r="C90" s="35">
        <f>INDEX(monster!$D$2:$D$700,MATCH(progress!A90,monster!$A$2:$A$700,0))</f>
        <v>1</v>
      </c>
      <c r="D90" s="35">
        <f>INDEX(monster!$E$2:$E$700,MATCH(progress!A90,monster!$A$2:$A$700,0))</f>
        <v>0</v>
      </c>
      <c r="E90" s="44">
        <f>INDEX(产销规划表!$G$5:$K$16,progress!D90+2,progress!C90)</f>
        <v>100</v>
      </c>
      <c r="F90" s="44">
        <v>2</v>
      </c>
      <c r="G90" s="44" t="s">
        <v>2552</v>
      </c>
      <c r="H90" s="44">
        <f>INDEX(产销规划表!$B$5:$F$16,progress!D90+2,progress!C90)</f>
        <v>5</v>
      </c>
      <c r="I90" s="70" t="s">
        <v>3068</v>
      </c>
      <c r="J90" s="44">
        <v>125</v>
      </c>
    </row>
    <row r="91" spans="1:10" x14ac:dyDescent="0.15">
      <c r="A91" s="31">
        <v>1068</v>
      </c>
      <c r="B91" s="31" t="s">
        <v>1785</v>
      </c>
      <c r="C91" s="35">
        <f>INDEX(monster!$D$2:$D$700,MATCH(progress!A91,monster!$A$2:$A$700,0))</f>
        <v>1</v>
      </c>
      <c r="D91" s="35">
        <f>INDEX(monster!$E$2:$E$700,MATCH(progress!A91,monster!$A$2:$A$700,0))</f>
        <v>1</v>
      </c>
      <c r="E91" s="44">
        <f>INDEX(产销规划表!$G$5:$K$16,progress!D91+2,progress!C91)</f>
        <v>200</v>
      </c>
      <c r="F91" s="44">
        <v>2</v>
      </c>
      <c r="G91" s="70" t="s">
        <v>2552</v>
      </c>
      <c r="H91" s="44">
        <f>INDEX(产销规划表!$B$5:$F$16,progress!D91+2,progress!C91)</f>
        <v>10</v>
      </c>
      <c r="I91" s="70" t="s">
        <v>3068</v>
      </c>
      <c r="J91" s="44">
        <v>250</v>
      </c>
    </row>
    <row r="92" spans="1:10" x14ac:dyDescent="0.15">
      <c r="A92" s="31">
        <v>1069</v>
      </c>
      <c r="B92" s="31" t="s">
        <v>205</v>
      </c>
      <c r="C92" s="35">
        <f>INDEX(monster!$D$2:$D$700,MATCH(progress!A92,monster!$A$2:$A$700,0))</f>
        <v>1</v>
      </c>
      <c r="D92" s="35">
        <f>INDEX(monster!$E$2:$E$700,MATCH(progress!A92,monster!$A$2:$A$700,0))</f>
        <v>2</v>
      </c>
      <c r="E92" s="44">
        <f>INDEX(产销规划表!$G$5:$K$16,progress!D92+2,progress!C92)</f>
        <v>500</v>
      </c>
      <c r="F92" s="44">
        <v>2</v>
      </c>
      <c r="G92" s="70" t="s">
        <v>2552</v>
      </c>
      <c r="H92" s="44">
        <f>INDEX(产销规划表!$B$5:$F$16,progress!D92+2,progress!C92)</f>
        <v>20</v>
      </c>
      <c r="I92" s="70" t="s">
        <v>3068</v>
      </c>
      <c r="J92" s="44">
        <v>375</v>
      </c>
    </row>
    <row r="93" spans="1:10" x14ac:dyDescent="0.15">
      <c r="A93" s="31">
        <v>1070</v>
      </c>
      <c r="B93" s="31" t="s">
        <v>206</v>
      </c>
      <c r="C93" s="35">
        <f>INDEX(monster!$D$2:$D$700,MATCH(progress!A93,monster!$A$2:$A$700,0))</f>
        <v>1</v>
      </c>
      <c r="D93" s="35">
        <f>INDEX(monster!$E$2:$E$700,MATCH(progress!A93,monster!$A$2:$A$700,0))</f>
        <v>3</v>
      </c>
      <c r="E93" s="44">
        <f>INDEX(产销规划表!$G$5:$K$16,progress!D93+2,progress!C93)</f>
        <v>1500</v>
      </c>
      <c r="F93" s="44">
        <v>2</v>
      </c>
      <c r="G93" s="70" t="s">
        <v>2552</v>
      </c>
      <c r="H93" s="44">
        <f>INDEX(产销规划表!$B$5:$F$16,progress!D93+2,progress!C93)</f>
        <v>50</v>
      </c>
      <c r="I93" s="70" t="s">
        <v>3068</v>
      </c>
      <c r="J93" s="44">
        <v>625</v>
      </c>
    </row>
    <row r="94" spans="1:10" x14ac:dyDescent="0.15">
      <c r="A94" s="31">
        <v>1071</v>
      </c>
      <c r="B94" s="31" t="s">
        <v>207</v>
      </c>
      <c r="C94" s="35">
        <f>INDEX(monster!$D$2:$D$700,MATCH(progress!A94,monster!$A$2:$A$700,0))</f>
        <v>1</v>
      </c>
      <c r="D94" s="35">
        <f>INDEX(monster!$E$2:$E$700,MATCH(progress!A94,monster!$A$2:$A$700,0))</f>
        <v>4</v>
      </c>
      <c r="E94" s="44">
        <f>INDEX(产销规划表!$G$5:$K$16,progress!D94+2,progress!C94)</f>
        <v>4000</v>
      </c>
      <c r="F94" s="44">
        <v>2</v>
      </c>
      <c r="G94" s="70" t="s">
        <v>2552</v>
      </c>
      <c r="H94" s="44">
        <f>INDEX(产销规划表!$B$5:$F$16,progress!D94+2,progress!C94)</f>
        <v>80</v>
      </c>
      <c r="I94" s="70" t="s">
        <v>3068</v>
      </c>
      <c r="J94" s="44">
        <v>1000</v>
      </c>
    </row>
    <row r="95" spans="1:10" x14ac:dyDescent="0.15">
      <c r="A95" s="31">
        <v>1072</v>
      </c>
      <c r="B95" s="31" t="s">
        <v>208</v>
      </c>
      <c r="C95" s="35">
        <f>INDEX(monster!$D$2:$D$700,MATCH(progress!A95,monster!$A$2:$A$700,0))</f>
        <v>1</v>
      </c>
      <c r="D95" s="35">
        <f>INDEX(monster!$E$2:$E$700,MATCH(progress!A95,monster!$A$2:$A$700,0))</f>
        <v>5</v>
      </c>
      <c r="E95" s="44">
        <f>INDEX(产销规划表!$G$5:$K$16,progress!D95+2,progress!C95)</f>
        <v>10000</v>
      </c>
      <c r="F95" s="44">
        <v>2</v>
      </c>
      <c r="G95" s="70" t="s">
        <v>2552</v>
      </c>
      <c r="H95" s="44">
        <f>INDEX(产销规划表!$B$5:$F$16,progress!D95+2,progress!C95)</f>
        <v>120</v>
      </c>
      <c r="I95" s="70" t="s">
        <v>3068</v>
      </c>
      <c r="J95" s="44">
        <v>1625</v>
      </c>
    </row>
    <row r="96" spans="1:10" x14ac:dyDescent="0.15">
      <c r="A96" s="31">
        <v>1073</v>
      </c>
      <c r="B96" s="31" t="s">
        <v>209</v>
      </c>
      <c r="C96" s="35">
        <f>INDEX(monster!$D$2:$D$700,MATCH(progress!A96,monster!$A$2:$A$700,0))</f>
        <v>1</v>
      </c>
      <c r="D96" s="35">
        <f>INDEX(monster!$E$2:$E$700,MATCH(progress!A96,monster!$A$2:$A$700,0))</f>
        <v>6</v>
      </c>
      <c r="E96" s="44">
        <f>INDEX(产销规划表!$G$5:$K$16,progress!D96+2,progress!C96)</f>
        <v>20000</v>
      </c>
      <c r="F96" s="44">
        <v>2</v>
      </c>
      <c r="G96" s="70" t="s">
        <v>2552</v>
      </c>
      <c r="H96" s="44">
        <f>INDEX(产销规划表!$B$5:$F$16,progress!D96+2,progress!C96)</f>
        <v>200</v>
      </c>
      <c r="I96" s="70" t="s">
        <v>3068</v>
      </c>
      <c r="J96" s="44">
        <v>2500</v>
      </c>
    </row>
    <row r="97" spans="1:10" x14ac:dyDescent="0.15">
      <c r="A97" s="31">
        <v>1074</v>
      </c>
      <c r="B97" s="31" t="s">
        <v>210</v>
      </c>
      <c r="C97" s="35">
        <f>INDEX(monster!$D$2:$D$700,MATCH(progress!A97,monster!$A$2:$A$700,0))</f>
        <v>1</v>
      </c>
      <c r="D97" s="35">
        <f>INDEX(monster!$E$2:$E$700,MATCH(progress!A97,monster!$A$2:$A$700,0))</f>
        <v>7</v>
      </c>
      <c r="E97" s="44">
        <f>INDEX(产销规划表!$G$5:$K$16,progress!D97+2,progress!C97)</f>
        <v>40000</v>
      </c>
      <c r="F97" s="44">
        <v>2</v>
      </c>
      <c r="G97" s="70" t="s">
        <v>2552</v>
      </c>
      <c r="H97" s="44">
        <f>INDEX(产销规划表!$B$5:$F$16,progress!D97+2,progress!C97)</f>
        <v>350</v>
      </c>
      <c r="I97" s="70" t="s">
        <v>3068</v>
      </c>
      <c r="J97" s="44">
        <v>3750</v>
      </c>
    </row>
    <row r="98" spans="1:10" x14ac:dyDescent="0.15">
      <c r="A98" s="31">
        <v>1075</v>
      </c>
      <c r="B98" s="31" t="s">
        <v>211</v>
      </c>
      <c r="C98" s="35">
        <f>INDEX(monster!$D$2:$D$700,MATCH(progress!A98,monster!$A$2:$A$700,0))</f>
        <v>1</v>
      </c>
      <c r="D98" s="35">
        <f>INDEX(monster!$E$2:$E$700,MATCH(progress!A98,monster!$A$2:$A$700,0))</f>
        <v>8</v>
      </c>
      <c r="E98" s="44">
        <f>INDEX(产销规划表!$G$5:$K$16,progress!D98+2,progress!C98)</f>
        <v>100000</v>
      </c>
      <c r="F98" s="44">
        <v>2</v>
      </c>
      <c r="G98" s="70" t="s">
        <v>2552</v>
      </c>
      <c r="H98" s="44">
        <f>INDEX(产销规划表!$B$5:$F$16,progress!D98+2,progress!C98)</f>
        <v>600</v>
      </c>
      <c r="I98" s="70" t="s">
        <v>3068</v>
      </c>
      <c r="J98" s="44">
        <v>5750</v>
      </c>
    </row>
    <row r="99" spans="1:10" x14ac:dyDescent="0.15">
      <c r="A99" s="31">
        <v>1076</v>
      </c>
      <c r="B99" s="31" t="s">
        <v>212</v>
      </c>
      <c r="C99" s="35">
        <f>INDEX(monster!$D$2:$D$700,MATCH(progress!A99,monster!$A$2:$A$700,0))</f>
        <v>1</v>
      </c>
      <c r="D99" s="35">
        <f>INDEX(monster!$E$2:$E$700,MATCH(progress!A99,monster!$A$2:$A$700,0))</f>
        <v>9</v>
      </c>
      <c r="E99" s="44">
        <f>INDEX(产销规划表!$G$5:$K$16,progress!D99+2,progress!C99)</f>
        <v>200000</v>
      </c>
      <c r="F99" s="44">
        <v>2</v>
      </c>
      <c r="G99" s="70" t="s">
        <v>2552</v>
      </c>
      <c r="H99" s="44">
        <f>INDEX(产销规划表!$B$5:$F$16,progress!D99+2,progress!C99)</f>
        <v>1000</v>
      </c>
      <c r="I99" s="70" t="s">
        <v>3068</v>
      </c>
      <c r="J99" s="44">
        <v>9000</v>
      </c>
    </row>
    <row r="100" spans="1:10" x14ac:dyDescent="0.15">
      <c r="A100" s="31">
        <v>1077</v>
      </c>
      <c r="B100" s="31" t="s">
        <v>213</v>
      </c>
      <c r="C100" s="35">
        <f>INDEX(monster!$D$2:$D$700,MATCH(progress!A100,monster!$A$2:$A$700,0))</f>
        <v>1</v>
      </c>
      <c r="D100" s="35">
        <f>INDEX(monster!$E$2:$E$700,MATCH(progress!A100,monster!$A$2:$A$700,0))</f>
        <v>10</v>
      </c>
      <c r="E100" s="44">
        <f>INDEX(产销规划表!$G$5:$K$16,progress!D100+2,progress!C100)</f>
        <v>-1</v>
      </c>
      <c r="F100" s="44">
        <v>2</v>
      </c>
      <c r="G100" s="70" t="s">
        <v>2552</v>
      </c>
      <c r="H100" s="44">
        <f>INDEX(产销规划表!$B$5:$F$16,progress!D100+2,progress!C100)</f>
        <v>-1</v>
      </c>
      <c r="I100" s="70" t="s">
        <v>3068</v>
      </c>
      <c r="J100" s="44">
        <v>-1</v>
      </c>
    </row>
    <row r="101" spans="1:10" x14ac:dyDescent="0.15">
      <c r="A101" s="31">
        <v>1078</v>
      </c>
      <c r="B101" s="31" t="s">
        <v>1786</v>
      </c>
      <c r="C101" s="35">
        <f>INDEX(monster!$D$2:$D$700,MATCH(progress!A101,monster!$A$2:$A$700,0))</f>
        <v>3</v>
      </c>
      <c r="D101" s="35">
        <f>INDEX(monster!$E$2:$E$700,MATCH(progress!A101,monster!$A$2:$A$700,0))</f>
        <v>0</v>
      </c>
      <c r="E101" s="44">
        <f>INDEX(产销规划表!$G$5:$K$16,progress!D101+2,progress!C101)</f>
        <v>500</v>
      </c>
      <c r="F101" s="44">
        <v>2</v>
      </c>
      <c r="G101" s="70" t="s">
        <v>2612</v>
      </c>
      <c r="H101" s="44">
        <f>INDEX(产销规划表!$B$5:$F$16,progress!D101+2,progress!C101)</f>
        <v>5</v>
      </c>
      <c r="I101" s="70" t="s">
        <v>3068</v>
      </c>
      <c r="J101" s="44">
        <v>250</v>
      </c>
    </row>
    <row r="102" spans="1:10" x14ac:dyDescent="0.15">
      <c r="A102" s="31">
        <v>1079</v>
      </c>
      <c r="B102" s="31" t="s">
        <v>1787</v>
      </c>
      <c r="C102" s="35">
        <f>INDEX(monster!$D$2:$D$700,MATCH(progress!A102,monster!$A$2:$A$700,0))</f>
        <v>3</v>
      </c>
      <c r="D102" s="35">
        <f>INDEX(monster!$E$2:$E$700,MATCH(progress!A102,monster!$A$2:$A$700,0))</f>
        <v>1</v>
      </c>
      <c r="E102" s="44">
        <f>INDEX(产销规划表!$G$5:$K$16,progress!D102+2,progress!C102)</f>
        <v>1500</v>
      </c>
      <c r="F102" s="44">
        <v>2</v>
      </c>
      <c r="G102" s="70" t="s">
        <v>2612</v>
      </c>
      <c r="H102" s="44">
        <f>INDEX(产销规划表!$B$5:$F$16,progress!D102+2,progress!C102)</f>
        <v>10</v>
      </c>
      <c r="I102" s="70" t="s">
        <v>3068</v>
      </c>
      <c r="J102" s="44">
        <v>500</v>
      </c>
    </row>
    <row r="103" spans="1:10" x14ac:dyDescent="0.15">
      <c r="A103" s="31">
        <v>1080</v>
      </c>
      <c r="B103" s="31" t="s">
        <v>214</v>
      </c>
      <c r="C103" s="35">
        <f>INDEX(monster!$D$2:$D$700,MATCH(progress!A103,monster!$A$2:$A$700,0))</f>
        <v>3</v>
      </c>
      <c r="D103" s="35">
        <f>INDEX(monster!$E$2:$E$700,MATCH(progress!A103,monster!$A$2:$A$700,0))</f>
        <v>2</v>
      </c>
      <c r="E103" s="44">
        <f>INDEX(产销规划表!$G$5:$K$16,progress!D103+2,progress!C103)</f>
        <v>4000</v>
      </c>
      <c r="F103" s="44">
        <v>2</v>
      </c>
      <c r="G103" s="70" t="s">
        <v>2612</v>
      </c>
      <c r="H103" s="44">
        <f>INDEX(产销规划表!$B$5:$F$16,progress!D103+2,progress!C103)</f>
        <v>20</v>
      </c>
      <c r="I103" s="70" t="s">
        <v>3068</v>
      </c>
      <c r="J103" s="44">
        <v>750</v>
      </c>
    </row>
    <row r="104" spans="1:10" x14ac:dyDescent="0.15">
      <c r="A104" s="31">
        <v>1081</v>
      </c>
      <c r="B104" s="31" t="s">
        <v>215</v>
      </c>
      <c r="C104" s="35">
        <f>INDEX(monster!$D$2:$D$700,MATCH(progress!A104,monster!$A$2:$A$700,0))</f>
        <v>3</v>
      </c>
      <c r="D104" s="35">
        <f>INDEX(monster!$E$2:$E$700,MATCH(progress!A104,monster!$A$2:$A$700,0))</f>
        <v>3</v>
      </c>
      <c r="E104" s="44">
        <f>INDEX(产销规划表!$G$5:$K$16,progress!D104+2,progress!C104)</f>
        <v>10000</v>
      </c>
      <c r="F104" s="44">
        <v>2</v>
      </c>
      <c r="G104" s="70" t="s">
        <v>2612</v>
      </c>
      <c r="H104" s="44">
        <f>INDEX(产销规划表!$B$5:$F$16,progress!D104+2,progress!C104)</f>
        <v>50</v>
      </c>
      <c r="I104" s="70" t="s">
        <v>3068</v>
      </c>
      <c r="J104" s="44">
        <v>1250</v>
      </c>
    </row>
    <row r="105" spans="1:10" x14ac:dyDescent="0.15">
      <c r="A105" s="31">
        <v>1082</v>
      </c>
      <c r="B105" s="31" t="s">
        <v>216</v>
      </c>
      <c r="C105" s="35">
        <f>INDEX(monster!$D$2:$D$700,MATCH(progress!A105,monster!$A$2:$A$700,0))</f>
        <v>3</v>
      </c>
      <c r="D105" s="35">
        <f>INDEX(monster!$E$2:$E$700,MATCH(progress!A105,monster!$A$2:$A$700,0))</f>
        <v>4</v>
      </c>
      <c r="E105" s="44">
        <f>INDEX(产销规划表!$G$5:$K$16,progress!D105+2,progress!C105)</f>
        <v>20000</v>
      </c>
      <c r="F105" s="44">
        <v>2</v>
      </c>
      <c r="G105" s="70" t="s">
        <v>2612</v>
      </c>
      <c r="H105" s="44">
        <f>INDEX(产销规划表!$B$5:$F$16,progress!D105+2,progress!C105)</f>
        <v>80</v>
      </c>
      <c r="I105" s="70" t="s">
        <v>3068</v>
      </c>
      <c r="J105" s="44">
        <v>2000</v>
      </c>
    </row>
    <row r="106" spans="1:10" x14ac:dyDescent="0.15">
      <c r="A106" s="31">
        <v>1083</v>
      </c>
      <c r="B106" s="31" t="s">
        <v>217</v>
      </c>
      <c r="C106" s="35">
        <f>INDEX(monster!$D$2:$D$700,MATCH(progress!A106,monster!$A$2:$A$700,0))</f>
        <v>3</v>
      </c>
      <c r="D106" s="35">
        <f>INDEX(monster!$E$2:$E$700,MATCH(progress!A106,monster!$A$2:$A$700,0))</f>
        <v>5</v>
      </c>
      <c r="E106" s="44">
        <f>INDEX(产销规划表!$G$5:$K$16,progress!D106+2,progress!C106)</f>
        <v>40000</v>
      </c>
      <c r="F106" s="44">
        <v>2</v>
      </c>
      <c r="G106" s="70" t="s">
        <v>2612</v>
      </c>
      <c r="H106" s="44">
        <f>INDEX(产销规划表!$B$5:$F$16,progress!D106+2,progress!C106)</f>
        <v>120</v>
      </c>
      <c r="I106" s="70" t="s">
        <v>3068</v>
      </c>
      <c r="J106" s="44">
        <v>3250</v>
      </c>
    </row>
    <row r="107" spans="1:10" x14ac:dyDescent="0.15">
      <c r="A107" s="31">
        <v>1084</v>
      </c>
      <c r="B107" s="31" t="s">
        <v>218</v>
      </c>
      <c r="C107" s="35">
        <f>INDEX(monster!$D$2:$D$700,MATCH(progress!A107,monster!$A$2:$A$700,0))</f>
        <v>3</v>
      </c>
      <c r="D107" s="35">
        <f>INDEX(monster!$E$2:$E$700,MATCH(progress!A107,monster!$A$2:$A$700,0))</f>
        <v>6</v>
      </c>
      <c r="E107" s="44">
        <f>INDEX(产销规划表!$G$5:$K$16,progress!D107+2,progress!C107)</f>
        <v>100000</v>
      </c>
      <c r="F107" s="44">
        <v>2</v>
      </c>
      <c r="G107" s="70" t="s">
        <v>2612</v>
      </c>
      <c r="H107" s="44">
        <f>INDEX(产销规划表!$B$5:$F$16,progress!D107+2,progress!C107)</f>
        <v>200</v>
      </c>
      <c r="I107" s="70" t="s">
        <v>3068</v>
      </c>
      <c r="J107" s="44">
        <v>5000</v>
      </c>
    </row>
    <row r="108" spans="1:10" x14ac:dyDescent="0.15">
      <c r="A108" s="31">
        <v>1085</v>
      </c>
      <c r="B108" s="31" t="s">
        <v>219</v>
      </c>
      <c r="C108" s="35">
        <f>INDEX(monster!$D$2:$D$700,MATCH(progress!A108,monster!$A$2:$A$700,0))</f>
        <v>3</v>
      </c>
      <c r="D108" s="35">
        <f>INDEX(monster!$E$2:$E$700,MATCH(progress!A108,monster!$A$2:$A$700,0))</f>
        <v>7</v>
      </c>
      <c r="E108" s="44">
        <f>INDEX(产销规划表!$G$5:$K$16,progress!D108+2,progress!C108)</f>
        <v>200000</v>
      </c>
      <c r="F108" s="44">
        <v>2</v>
      </c>
      <c r="G108" s="70" t="s">
        <v>2612</v>
      </c>
      <c r="H108" s="44">
        <f>INDEX(产销规划表!$B$5:$F$16,progress!D108+2,progress!C108)</f>
        <v>350</v>
      </c>
      <c r="I108" s="70" t="s">
        <v>3068</v>
      </c>
      <c r="J108" s="44">
        <v>7500</v>
      </c>
    </row>
    <row r="109" spans="1:10" x14ac:dyDescent="0.15">
      <c r="A109" s="31">
        <v>1086</v>
      </c>
      <c r="B109" s="31" t="s">
        <v>220</v>
      </c>
      <c r="C109" s="35">
        <f>INDEX(monster!$D$2:$D$700,MATCH(progress!A109,monster!$A$2:$A$700,0))</f>
        <v>3</v>
      </c>
      <c r="D109" s="35">
        <f>INDEX(monster!$E$2:$E$700,MATCH(progress!A109,monster!$A$2:$A$700,0))</f>
        <v>8</v>
      </c>
      <c r="E109" s="44">
        <f>INDEX(产销规划表!$G$5:$K$16,progress!D109+2,progress!C109)</f>
        <v>500000</v>
      </c>
      <c r="F109" s="44">
        <v>2</v>
      </c>
      <c r="G109" s="70" t="s">
        <v>2612</v>
      </c>
      <c r="H109" s="44">
        <f>INDEX(产销规划表!$B$5:$F$16,progress!D109+2,progress!C109)</f>
        <v>600</v>
      </c>
      <c r="I109" s="70" t="s">
        <v>3068</v>
      </c>
      <c r="J109" s="44">
        <v>11250</v>
      </c>
    </row>
    <row r="110" spans="1:10" x14ac:dyDescent="0.15">
      <c r="A110" s="31">
        <v>1087</v>
      </c>
      <c r="B110" s="31" t="s">
        <v>221</v>
      </c>
      <c r="C110" s="35">
        <f>INDEX(monster!$D$2:$D$700,MATCH(progress!A110,monster!$A$2:$A$700,0))</f>
        <v>3</v>
      </c>
      <c r="D110" s="35">
        <f>INDEX(monster!$E$2:$E$700,MATCH(progress!A110,monster!$A$2:$A$700,0))</f>
        <v>9</v>
      </c>
      <c r="E110" s="44">
        <f>INDEX(产销规划表!$G$5:$K$16,progress!D110+2,progress!C110)</f>
        <v>1000000</v>
      </c>
      <c r="F110" s="44">
        <v>2</v>
      </c>
      <c r="G110" s="70" t="s">
        <v>2612</v>
      </c>
      <c r="H110" s="44">
        <f>INDEX(产销规划表!$B$5:$F$16,progress!D110+2,progress!C110)</f>
        <v>1000</v>
      </c>
      <c r="I110" s="70" t="s">
        <v>3068</v>
      </c>
      <c r="J110" s="44">
        <v>18000</v>
      </c>
    </row>
    <row r="111" spans="1:10" x14ac:dyDescent="0.15">
      <c r="A111" s="31">
        <v>1088</v>
      </c>
      <c r="B111" s="31" t="s">
        <v>222</v>
      </c>
      <c r="C111" s="35">
        <f>INDEX(monster!$D$2:$D$700,MATCH(progress!A111,monster!$A$2:$A$700,0))</f>
        <v>3</v>
      </c>
      <c r="D111" s="35">
        <f>INDEX(monster!$E$2:$E$700,MATCH(progress!A111,monster!$A$2:$A$700,0))</f>
        <v>10</v>
      </c>
      <c r="E111" s="44">
        <f>INDEX(产销规划表!$G$5:$K$16,progress!D111+2,progress!C111)</f>
        <v>-1</v>
      </c>
      <c r="F111" s="44">
        <v>2</v>
      </c>
      <c r="G111" s="70" t="s">
        <v>2612</v>
      </c>
      <c r="H111" s="44">
        <f>INDEX(产销规划表!$B$5:$F$16,progress!D111+2,progress!C111)</f>
        <v>-1</v>
      </c>
      <c r="I111" s="70" t="s">
        <v>3068</v>
      </c>
      <c r="J111" s="44">
        <v>-1</v>
      </c>
    </row>
    <row r="112" spans="1:10" x14ac:dyDescent="0.15">
      <c r="A112" s="31">
        <v>1089</v>
      </c>
      <c r="B112" s="31" t="s">
        <v>1788</v>
      </c>
      <c r="C112" s="35">
        <f>INDEX(monster!$D$2:$D$700,MATCH(progress!A112,monster!$A$2:$A$700,0))</f>
        <v>4</v>
      </c>
      <c r="D112" s="35">
        <f>INDEX(monster!$E$2:$E$700,MATCH(progress!A112,monster!$A$2:$A$700,0))</f>
        <v>0</v>
      </c>
      <c r="E112" s="44">
        <f>INDEX(产销规划表!$G$5:$K$16,progress!D112+2,progress!C112)</f>
        <v>4000</v>
      </c>
      <c r="F112" s="44">
        <v>2</v>
      </c>
      <c r="G112" s="44" t="s">
        <v>2553</v>
      </c>
      <c r="H112" s="44">
        <f>INDEX(产销规划表!$B$5:$F$16,progress!D112+2,progress!C112)</f>
        <v>5</v>
      </c>
      <c r="I112" s="70" t="s">
        <v>3068</v>
      </c>
      <c r="J112" s="44">
        <v>625</v>
      </c>
    </row>
    <row r="113" spans="1:10" x14ac:dyDescent="0.15">
      <c r="A113" s="31">
        <v>1090</v>
      </c>
      <c r="B113" s="31" t="s">
        <v>1789</v>
      </c>
      <c r="C113" s="35">
        <f>INDEX(monster!$D$2:$D$700,MATCH(progress!A113,monster!$A$2:$A$700,0))</f>
        <v>4</v>
      </c>
      <c r="D113" s="35">
        <f>INDEX(monster!$E$2:$E$700,MATCH(progress!A113,monster!$A$2:$A$700,0))</f>
        <v>1</v>
      </c>
      <c r="E113" s="44">
        <f>INDEX(产销规划表!$G$5:$K$16,progress!D113+2,progress!C113)</f>
        <v>10000</v>
      </c>
      <c r="F113" s="44">
        <v>2</v>
      </c>
      <c r="G113" s="70" t="s">
        <v>2553</v>
      </c>
      <c r="H113" s="44">
        <f>INDEX(产销规划表!$B$5:$F$16,progress!D113+2,progress!C113)</f>
        <v>10</v>
      </c>
      <c r="I113" s="70" t="s">
        <v>3068</v>
      </c>
      <c r="J113" s="44">
        <v>1000</v>
      </c>
    </row>
    <row r="114" spans="1:10" x14ac:dyDescent="0.15">
      <c r="A114" s="31">
        <v>1091</v>
      </c>
      <c r="B114" s="31" t="s">
        <v>223</v>
      </c>
      <c r="C114" s="35">
        <f>INDEX(monster!$D$2:$D$700,MATCH(progress!A114,monster!$A$2:$A$700,0))</f>
        <v>4</v>
      </c>
      <c r="D114" s="35">
        <f>INDEX(monster!$E$2:$E$700,MATCH(progress!A114,monster!$A$2:$A$700,0))</f>
        <v>2</v>
      </c>
      <c r="E114" s="44">
        <f>INDEX(产销规划表!$G$5:$K$16,progress!D114+2,progress!C114)</f>
        <v>20000</v>
      </c>
      <c r="F114" s="44">
        <v>2</v>
      </c>
      <c r="G114" s="70" t="s">
        <v>2553</v>
      </c>
      <c r="H114" s="44">
        <f>INDEX(产销规划表!$B$5:$F$16,progress!D114+2,progress!C114)</f>
        <v>20</v>
      </c>
      <c r="I114" s="70" t="s">
        <v>3068</v>
      </c>
      <c r="J114" s="44">
        <v>1500</v>
      </c>
    </row>
    <row r="115" spans="1:10" x14ac:dyDescent="0.15">
      <c r="A115" s="31">
        <v>1092</v>
      </c>
      <c r="B115" s="31" t="s">
        <v>224</v>
      </c>
      <c r="C115" s="35">
        <f>INDEX(monster!$D$2:$D$700,MATCH(progress!A115,monster!$A$2:$A$700,0))</f>
        <v>4</v>
      </c>
      <c r="D115" s="35">
        <f>INDEX(monster!$E$2:$E$700,MATCH(progress!A115,monster!$A$2:$A$700,0))</f>
        <v>3</v>
      </c>
      <c r="E115" s="44">
        <f>INDEX(产销规划表!$G$5:$K$16,progress!D115+2,progress!C115)</f>
        <v>40000</v>
      </c>
      <c r="F115" s="44">
        <v>2</v>
      </c>
      <c r="G115" s="70" t="s">
        <v>2553</v>
      </c>
      <c r="H115" s="44">
        <f>INDEX(产销规划表!$B$5:$F$16,progress!D115+2,progress!C115)</f>
        <v>50</v>
      </c>
      <c r="I115" s="70" t="s">
        <v>3068</v>
      </c>
      <c r="J115" s="44">
        <v>2500</v>
      </c>
    </row>
    <row r="116" spans="1:10" x14ac:dyDescent="0.15">
      <c r="A116" s="31">
        <v>1093</v>
      </c>
      <c r="B116" s="31" t="s">
        <v>225</v>
      </c>
      <c r="C116" s="35">
        <f>INDEX(monster!$D$2:$D$700,MATCH(progress!A116,monster!$A$2:$A$700,0))</f>
        <v>4</v>
      </c>
      <c r="D116" s="35">
        <f>INDEX(monster!$E$2:$E$700,MATCH(progress!A116,monster!$A$2:$A$700,0))</f>
        <v>4</v>
      </c>
      <c r="E116" s="44">
        <f>INDEX(产销规划表!$G$5:$K$16,progress!D116+2,progress!C116)</f>
        <v>100000</v>
      </c>
      <c r="F116" s="44">
        <v>2</v>
      </c>
      <c r="G116" s="70" t="s">
        <v>2553</v>
      </c>
      <c r="H116" s="44">
        <f>INDEX(产销规划表!$B$5:$F$16,progress!D116+2,progress!C116)</f>
        <v>80</v>
      </c>
      <c r="I116" s="70" t="s">
        <v>3068</v>
      </c>
      <c r="J116" s="44">
        <v>3750</v>
      </c>
    </row>
    <row r="117" spans="1:10" x14ac:dyDescent="0.15">
      <c r="A117" s="31">
        <v>1094</v>
      </c>
      <c r="B117" s="31" t="s">
        <v>226</v>
      </c>
      <c r="C117" s="35">
        <f>INDEX(monster!$D$2:$D$700,MATCH(progress!A117,monster!$A$2:$A$700,0))</f>
        <v>4</v>
      </c>
      <c r="D117" s="35">
        <f>INDEX(monster!$E$2:$E$700,MATCH(progress!A117,monster!$A$2:$A$700,0))</f>
        <v>5</v>
      </c>
      <c r="E117" s="44">
        <f>INDEX(产销规划表!$G$5:$K$16,progress!D117+2,progress!C117)</f>
        <v>200000</v>
      </c>
      <c r="F117" s="44">
        <v>2</v>
      </c>
      <c r="G117" s="70" t="s">
        <v>2553</v>
      </c>
      <c r="H117" s="44">
        <f>INDEX(产销规划表!$B$5:$F$16,progress!D117+2,progress!C117)</f>
        <v>120</v>
      </c>
      <c r="I117" s="70" t="s">
        <v>3068</v>
      </c>
      <c r="J117" s="44">
        <v>6250</v>
      </c>
    </row>
    <row r="118" spans="1:10" x14ac:dyDescent="0.15">
      <c r="A118" s="31">
        <v>1095</v>
      </c>
      <c r="B118" s="31" t="s">
        <v>227</v>
      </c>
      <c r="C118" s="35">
        <f>INDEX(monster!$D$2:$D$700,MATCH(progress!A118,monster!$A$2:$A$700,0))</f>
        <v>4</v>
      </c>
      <c r="D118" s="35">
        <f>INDEX(monster!$E$2:$E$700,MATCH(progress!A118,monster!$A$2:$A$700,0))</f>
        <v>6</v>
      </c>
      <c r="E118" s="44">
        <f>INDEX(产销规划表!$G$5:$K$16,progress!D118+2,progress!C118)</f>
        <v>500000</v>
      </c>
      <c r="F118" s="44">
        <v>2</v>
      </c>
      <c r="G118" s="70" t="s">
        <v>2553</v>
      </c>
      <c r="H118" s="44">
        <f>INDEX(产销规划表!$B$5:$F$16,progress!D118+2,progress!C118)</f>
        <v>200</v>
      </c>
      <c r="I118" s="70" t="s">
        <v>3068</v>
      </c>
      <c r="J118" s="44">
        <v>10000</v>
      </c>
    </row>
    <row r="119" spans="1:10" x14ac:dyDescent="0.15">
      <c r="A119" s="31">
        <v>1096</v>
      </c>
      <c r="B119" s="31" t="s">
        <v>228</v>
      </c>
      <c r="C119" s="35">
        <f>INDEX(monster!$D$2:$D$700,MATCH(progress!A119,monster!$A$2:$A$700,0))</f>
        <v>4</v>
      </c>
      <c r="D119" s="35">
        <f>INDEX(monster!$E$2:$E$700,MATCH(progress!A119,monster!$A$2:$A$700,0))</f>
        <v>7</v>
      </c>
      <c r="E119" s="44">
        <f>INDEX(产销规划表!$G$5:$K$16,progress!D119+2,progress!C119)</f>
        <v>1000000</v>
      </c>
      <c r="F119" s="44">
        <v>2</v>
      </c>
      <c r="G119" s="70" t="s">
        <v>2553</v>
      </c>
      <c r="H119" s="44">
        <f>INDEX(产销规划表!$B$5:$F$16,progress!D119+2,progress!C119)</f>
        <v>350</v>
      </c>
      <c r="I119" s="70" t="s">
        <v>3068</v>
      </c>
      <c r="J119" s="44">
        <v>15000</v>
      </c>
    </row>
    <row r="120" spans="1:10" x14ac:dyDescent="0.15">
      <c r="A120" s="31">
        <v>1097</v>
      </c>
      <c r="B120" s="31" t="s">
        <v>229</v>
      </c>
      <c r="C120" s="35">
        <f>INDEX(monster!$D$2:$D$700,MATCH(progress!A120,monster!$A$2:$A$700,0))</f>
        <v>4</v>
      </c>
      <c r="D120" s="35">
        <f>INDEX(monster!$E$2:$E$700,MATCH(progress!A120,monster!$A$2:$A$700,0))</f>
        <v>8</v>
      </c>
      <c r="E120" s="44">
        <f>INDEX(产销规划表!$G$5:$K$16,progress!D120+2,progress!C120)</f>
        <v>2000000</v>
      </c>
      <c r="F120" s="44">
        <v>2</v>
      </c>
      <c r="G120" s="70" t="s">
        <v>2553</v>
      </c>
      <c r="H120" s="44">
        <f>INDEX(产销规划表!$B$5:$F$16,progress!D120+2,progress!C120)</f>
        <v>600</v>
      </c>
      <c r="I120" s="70" t="s">
        <v>3068</v>
      </c>
      <c r="J120" s="44">
        <v>22500</v>
      </c>
    </row>
    <row r="121" spans="1:10" x14ac:dyDescent="0.15">
      <c r="A121" s="31">
        <v>1098</v>
      </c>
      <c r="B121" s="31" t="s">
        <v>230</v>
      </c>
      <c r="C121" s="35">
        <f>INDEX(monster!$D$2:$D$700,MATCH(progress!A121,monster!$A$2:$A$700,0))</f>
        <v>4</v>
      </c>
      <c r="D121" s="35">
        <f>INDEX(monster!$E$2:$E$700,MATCH(progress!A121,monster!$A$2:$A$700,0))</f>
        <v>9</v>
      </c>
      <c r="E121" s="44">
        <f>INDEX(产销规划表!$G$5:$K$16,progress!D121+2,progress!C121)</f>
        <v>5000000</v>
      </c>
      <c r="F121" s="44">
        <v>2</v>
      </c>
      <c r="G121" s="70" t="s">
        <v>2553</v>
      </c>
      <c r="H121" s="44">
        <f>INDEX(产销规划表!$B$5:$F$16,progress!D121+2,progress!C121)</f>
        <v>1000</v>
      </c>
      <c r="I121" s="70" t="s">
        <v>3068</v>
      </c>
      <c r="J121" s="44">
        <v>35000</v>
      </c>
    </row>
    <row r="122" spans="1:10" x14ac:dyDescent="0.15">
      <c r="A122" s="31">
        <v>1099</v>
      </c>
      <c r="B122" s="31" t="s">
        <v>231</v>
      </c>
      <c r="C122" s="35">
        <f>INDEX(monster!$D$2:$D$700,MATCH(progress!A122,monster!$A$2:$A$700,0))</f>
        <v>4</v>
      </c>
      <c r="D122" s="35">
        <f>INDEX(monster!$E$2:$E$700,MATCH(progress!A122,monster!$A$2:$A$700,0))</f>
        <v>10</v>
      </c>
      <c r="E122" s="44">
        <f>INDEX(产销规划表!$G$5:$K$16,progress!D122+2,progress!C122)</f>
        <v>-1</v>
      </c>
      <c r="F122" s="44">
        <v>2</v>
      </c>
      <c r="G122" s="70" t="s">
        <v>2553</v>
      </c>
      <c r="H122" s="44">
        <f>INDEX(产销规划表!$B$5:$F$16,progress!D122+2,progress!C122)</f>
        <v>-1</v>
      </c>
      <c r="I122" s="70" t="s">
        <v>3068</v>
      </c>
      <c r="J122" s="44">
        <v>-1</v>
      </c>
    </row>
    <row r="123" spans="1:10" x14ac:dyDescent="0.15">
      <c r="A123" s="31">
        <v>1105</v>
      </c>
      <c r="B123" s="31" t="s">
        <v>1790</v>
      </c>
      <c r="C123" s="35">
        <f>INDEX(monster!$D$2:$D$700,MATCH(progress!A123,monster!$A$2:$A$700,0))</f>
        <v>4</v>
      </c>
      <c r="D123" s="35">
        <f>INDEX(monster!$E$2:$E$700,MATCH(progress!A123,monster!$A$2:$A$700,0))</f>
        <v>0</v>
      </c>
      <c r="E123" s="44">
        <f>INDEX(产销规划表!$G$5:$K$16,progress!D123+2,progress!C123)</f>
        <v>4000</v>
      </c>
      <c r="F123" s="44">
        <v>2</v>
      </c>
      <c r="G123" s="70" t="s">
        <v>2554</v>
      </c>
      <c r="H123" s="44">
        <f>INDEX(产销规划表!$B$5:$F$16,progress!D123+2,progress!C123)</f>
        <v>5</v>
      </c>
      <c r="I123" s="70" t="s">
        <v>3068</v>
      </c>
      <c r="J123" s="44">
        <v>625</v>
      </c>
    </row>
    <row r="124" spans="1:10" x14ac:dyDescent="0.15">
      <c r="A124" s="31">
        <v>1106</v>
      </c>
      <c r="B124" s="31" t="s">
        <v>1791</v>
      </c>
      <c r="C124" s="35">
        <f>INDEX(monster!$D$2:$D$700,MATCH(progress!A124,monster!$A$2:$A$700,0))</f>
        <v>4</v>
      </c>
      <c r="D124" s="35">
        <f>INDEX(monster!$E$2:$E$700,MATCH(progress!A124,monster!$A$2:$A$700,0))</f>
        <v>1</v>
      </c>
      <c r="E124" s="44">
        <f>INDEX(产销规划表!$G$5:$K$16,progress!D124+2,progress!C124)</f>
        <v>10000</v>
      </c>
      <c r="F124" s="44">
        <v>2</v>
      </c>
      <c r="G124" s="70" t="s">
        <v>2554</v>
      </c>
      <c r="H124" s="44">
        <f>INDEX(产销规划表!$B$5:$F$16,progress!D124+2,progress!C124)</f>
        <v>10</v>
      </c>
      <c r="I124" s="70" t="s">
        <v>3068</v>
      </c>
      <c r="J124" s="44">
        <v>1000</v>
      </c>
    </row>
    <row r="125" spans="1:10" x14ac:dyDescent="0.15">
      <c r="A125" s="31">
        <v>1107</v>
      </c>
      <c r="B125" s="31" t="s">
        <v>232</v>
      </c>
      <c r="C125" s="35">
        <f>INDEX(monster!$D$2:$D$700,MATCH(progress!A125,monster!$A$2:$A$700,0))</f>
        <v>4</v>
      </c>
      <c r="D125" s="35">
        <f>INDEX(monster!$E$2:$E$700,MATCH(progress!A125,monster!$A$2:$A$700,0))</f>
        <v>2</v>
      </c>
      <c r="E125" s="44">
        <f>INDEX(产销规划表!$G$5:$K$16,progress!D125+2,progress!C125)</f>
        <v>20000</v>
      </c>
      <c r="F125" s="44">
        <v>2</v>
      </c>
      <c r="G125" s="70" t="s">
        <v>2554</v>
      </c>
      <c r="H125" s="44">
        <f>INDEX(产销规划表!$B$5:$F$16,progress!D125+2,progress!C125)</f>
        <v>20</v>
      </c>
      <c r="I125" s="70" t="s">
        <v>3068</v>
      </c>
      <c r="J125" s="44">
        <v>1500</v>
      </c>
    </row>
    <row r="126" spans="1:10" x14ac:dyDescent="0.15">
      <c r="A126" s="31">
        <v>1108</v>
      </c>
      <c r="B126" s="31" t="s">
        <v>233</v>
      </c>
      <c r="C126" s="35">
        <f>INDEX(monster!$D$2:$D$700,MATCH(progress!A126,monster!$A$2:$A$700,0))</f>
        <v>4</v>
      </c>
      <c r="D126" s="35">
        <f>INDEX(monster!$E$2:$E$700,MATCH(progress!A126,monster!$A$2:$A$700,0))</f>
        <v>3</v>
      </c>
      <c r="E126" s="44">
        <f>INDEX(产销规划表!$G$5:$K$16,progress!D126+2,progress!C126)</f>
        <v>40000</v>
      </c>
      <c r="F126" s="44">
        <v>2</v>
      </c>
      <c r="G126" s="70" t="s">
        <v>2554</v>
      </c>
      <c r="H126" s="44">
        <f>INDEX(产销规划表!$B$5:$F$16,progress!D126+2,progress!C126)</f>
        <v>50</v>
      </c>
      <c r="I126" s="70" t="s">
        <v>3068</v>
      </c>
      <c r="J126" s="44">
        <v>2500</v>
      </c>
    </row>
    <row r="127" spans="1:10" x14ac:dyDescent="0.15">
      <c r="A127" s="31">
        <v>1109</v>
      </c>
      <c r="B127" s="31" t="s">
        <v>234</v>
      </c>
      <c r="C127" s="35">
        <f>INDEX(monster!$D$2:$D$700,MATCH(progress!A127,monster!$A$2:$A$700,0))</f>
        <v>4</v>
      </c>
      <c r="D127" s="35">
        <f>INDEX(monster!$E$2:$E$700,MATCH(progress!A127,monster!$A$2:$A$700,0))</f>
        <v>4</v>
      </c>
      <c r="E127" s="44">
        <f>INDEX(产销规划表!$G$5:$K$16,progress!D127+2,progress!C127)</f>
        <v>100000</v>
      </c>
      <c r="F127" s="44">
        <v>2</v>
      </c>
      <c r="G127" s="70" t="s">
        <v>2554</v>
      </c>
      <c r="H127" s="44">
        <f>INDEX(产销规划表!$B$5:$F$16,progress!D127+2,progress!C127)</f>
        <v>80</v>
      </c>
      <c r="I127" s="70" t="s">
        <v>3068</v>
      </c>
      <c r="J127" s="44">
        <v>3750</v>
      </c>
    </row>
    <row r="128" spans="1:10" x14ac:dyDescent="0.15">
      <c r="A128" s="31">
        <v>1110</v>
      </c>
      <c r="B128" s="31" t="s">
        <v>235</v>
      </c>
      <c r="C128" s="35">
        <f>INDEX(monster!$D$2:$D$700,MATCH(progress!A128,monster!$A$2:$A$700,0))</f>
        <v>4</v>
      </c>
      <c r="D128" s="35">
        <f>INDEX(monster!$E$2:$E$700,MATCH(progress!A128,monster!$A$2:$A$700,0))</f>
        <v>5</v>
      </c>
      <c r="E128" s="44">
        <f>INDEX(产销规划表!$G$5:$K$16,progress!D128+2,progress!C128)</f>
        <v>200000</v>
      </c>
      <c r="F128" s="44">
        <v>2</v>
      </c>
      <c r="G128" s="70" t="s">
        <v>2554</v>
      </c>
      <c r="H128" s="44">
        <f>INDEX(产销规划表!$B$5:$F$16,progress!D128+2,progress!C128)</f>
        <v>120</v>
      </c>
      <c r="I128" s="70" t="s">
        <v>3068</v>
      </c>
      <c r="J128" s="44">
        <v>6250</v>
      </c>
    </row>
    <row r="129" spans="1:10" x14ac:dyDescent="0.15">
      <c r="A129" s="31">
        <v>1111</v>
      </c>
      <c r="B129" s="31" t="s">
        <v>236</v>
      </c>
      <c r="C129" s="35">
        <f>INDEX(monster!$D$2:$D$700,MATCH(progress!A129,monster!$A$2:$A$700,0))</f>
        <v>4</v>
      </c>
      <c r="D129" s="35">
        <f>INDEX(monster!$E$2:$E$700,MATCH(progress!A129,monster!$A$2:$A$700,0))</f>
        <v>6</v>
      </c>
      <c r="E129" s="44">
        <f>INDEX(产销规划表!$G$5:$K$16,progress!D129+2,progress!C129)</f>
        <v>500000</v>
      </c>
      <c r="F129" s="44">
        <v>2</v>
      </c>
      <c r="G129" s="70" t="s">
        <v>2554</v>
      </c>
      <c r="H129" s="44">
        <f>INDEX(产销规划表!$B$5:$F$16,progress!D129+2,progress!C129)</f>
        <v>200</v>
      </c>
      <c r="I129" s="70" t="s">
        <v>3068</v>
      </c>
      <c r="J129" s="44">
        <v>10000</v>
      </c>
    </row>
    <row r="130" spans="1:10" x14ac:dyDescent="0.15">
      <c r="A130" s="31">
        <v>1112</v>
      </c>
      <c r="B130" s="31" t="s">
        <v>237</v>
      </c>
      <c r="C130" s="35">
        <f>INDEX(monster!$D$2:$D$700,MATCH(progress!A130,monster!$A$2:$A$700,0))</f>
        <v>4</v>
      </c>
      <c r="D130" s="35">
        <f>INDEX(monster!$E$2:$E$700,MATCH(progress!A130,monster!$A$2:$A$700,0))</f>
        <v>7</v>
      </c>
      <c r="E130" s="44">
        <f>INDEX(产销规划表!$G$5:$K$16,progress!D130+2,progress!C130)</f>
        <v>1000000</v>
      </c>
      <c r="F130" s="44">
        <v>2</v>
      </c>
      <c r="G130" s="70" t="s">
        <v>2554</v>
      </c>
      <c r="H130" s="44">
        <f>INDEX(产销规划表!$B$5:$F$16,progress!D130+2,progress!C130)</f>
        <v>350</v>
      </c>
      <c r="I130" s="70" t="s">
        <v>3068</v>
      </c>
      <c r="J130" s="44">
        <v>15000</v>
      </c>
    </row>
    <row r="131" spans="1:10" x14ac:dyDescent="0.15">
      <c r="A131" s="31">
        <v>1113</v>
      </c>
      <c r="B131" s="31" t="s">
        <v>238</v>
      </c>
      <c r="C131" s="35">
        <f>INDEX(monster!$D$2:$D$700,MATCH(progress!A131,monster!$A$2:$A$700,0))</f>
        <v>4</v>
      </c>
      <c r="D131" s="35">
        <f>INDEX(monster!$E$2:$E$700,MATCH(progress!A131,monster!$A$2:$A$700,0))</f>
        <v>8</v>
      </c>
      <c r="E131" s="44">
        <f>INDEX(产销规划表!$G$5:$K$16,progress!D131+2,progress!C131)</f>
        <v>2000000</v>
      </c>
      <c r="F131" s="44">
        <v>2</v>
      </c>
      <c r="G131" s="70" t="s">
        <v>2554</v>
      </c>
      <c r="H131" s="44">
        <f>INDEX(产销规划表!$B$5:$F$16,progress!D131+2,progress!C131)</f>
        <v>600</v>
      </c>
      <c r="I131" s="70" t="s">
        <v>3068</v>
      </c>
      <c r="J131" s="44">
        <v>22500</v>
      </c>
    </row>
    <row r="132" spans="1:10" x14ac:dyDescent="0.15">
      <c r="A132" s="31">
        <v>1114</v>
      </c>
      <c r="B132" s="31" t="s">
        <v>239</v>
      </c>
      <c r="C132" s="35">
        <f>INDEX(monster!$D$2:$D$700,MATCH(progress!A132,monster!$A$2:$A$700,0))</f>
        <v>4</v>
      </c>
      <c r="D132" s="35">
        <f>INDEX(monster!$E$2:$E$700,MATCH(progress!A132,monster!$A$2:$A$700,0))</f>
        <v>9</v>
      </c>
      <c r="E132" s="44">
        <f>INDEX(产销规划表!$G$5:$K$16,progress!D132+2,progress!C132)</f>
        <v>5000000</v>
      </c>
      <c r="F132" s="44">
        <v>2</v>
      </c>
      <c r="G132" s="70" t="s">
        <v>2554</v>
      </c>
      <c r="H132" s="44">
        <f>INDEX(产销规划表!$B$5:$F$16,progress!D132+2,progress!C132)</f>
        <v>1000</v>
      </c>
      <c r="I132" s="70" t="s">
        <v>3068</v>
      </c>
      <c r="J132" s="44">
        <v>35000</v>
      </c>
    </row>
    <row r="133" spans="1:10" x14ac:dyDescent="0.15">
      <c r="A133" s="31">
        <v>1115</v>
      </c>
      <c r="B133" s="31" t="s">
        <v>240</v>
      </c>
      <c r="C133" s="35">
        <f>INDEX(monster!$D$2:$D$700,MATCH(progress!A133,monster!$A$2:$A$700,0))</f>
        <v>4</v>
      </c>
      <c r="D133" s="35">
        <f>INDEX(monster!$E$2:$E$700,MATCH(progress!A133,monster!$A$2:$A$700,0))</f>
        <v>10</v>
      </c>
      <c r="E133" s="44">
        <f>INDEX(产销规划表!$G$5:$K$16,progress!D133+2,progress!C133)</f>
        <v>-1</v>
      </c>
      <c r="F133" s="44">
        <v>2</v>
      </c>
      <c r="G133" s="70" t="s">
        <v>2554</v>
      </c>
      <c r="H133" s="44">
        <f>INDEX(产销规划表!$B$5:$F$16,progress!D133+2,progress!C133)</f>
        <v>-1</v>
      </c>
      <c r="I133" s="70" t="s">
        <v>3068</v>
      </c>
      <c r="J133" s="44">
        <v>-1</v>
      </c>
    </row>
    <row r="134" spans="1:10" x14ac:dyDescent="0.15">
      <c r="A134" s="31">
        <v>1127</v>
      </c>
      <c r="B134" s="31" t="s">
        <v>1792</v>
      </c>
      <c r="C134" s="35">
        <f>INDEX(monster!$D$2:$D$700,MATCH(progress!A134,monster!$A$2:$A$700,0))</f>
        <v>1</v>
      </c>
      <c r="D134" s="35">
        <f>INDEX(monster!$E$2:$E$700,MATCH(progress!A134,monster!$A$2:$A$700,0))</f>
        <v>0</v>
      </c>
      <c r="E134" s="44">
        <f>INDEX(产销规划表!$G$5:$K$16,progress!D134+2,progress!C134)</f>
        <v>100</v>
      </c>
      <c r="F134" s="44">
        <v>2</v>
      </c>
      <c r="G134" s="70" t="s">
        <v>2555</v>
      </c>
      <c r="H134" s="44">
        <f>INDEX(产销规划表!$B$5:$F$16,progress!D134+2,progress!C134)</f>
        <v>5</v>
      </c>
      <c r="I134" s="70" t="s">
        <v>3068</v>
      </c>
      <c r="J134" s="44">
        <v>125</v>
      </c>
    </row>
    <row r="135" spans="1:10" x14ac:dyDescent="0.15">
      <c r="A135" s="31">
        <v>1128</v>
      </c>
      <c r="B135" s="31" t="s">
        <v>1793</v>
      </c>
      <c r="C135" s="35">
        <f>INDEX(monster!$D$2:$D$700,MATCH(progress!A135,monster!$A$2:$A$700,0))</f>
        <v>1</v>
      </c>
      <c r="D135" s="35">
        <f>INDEX(monster!$E$2:$E$700,MATCH(progress!A135,monster!$A$2:$A$700,0))</f>
        <v>1</v>
      </c>
      <c r="E135" s="44">
        <f>INDEX(产销规划表!$G$5:$K$16,progress!D135+2,progress!C135)</f>
        <v>200</v>
      </c>
      <c r="F135" s="44">
        <v>2</v>
      </c>
      <c r="G135" s="70" t="s">
        <v>2555</v>
      </c>
      <c r="H135" s="44">
        <f>INDEX(产销规划表!$B$5:$F$16,progress!D135+2,progress!C135)</f>
        <v>10</v>
      </c>
      <c r="I135" s="70" t="s">
        <v>3068</v>
      </c>
      <c r="J135" s="44">
        <v>250</v>
      </c>
    </row>
    <row r="136" spans="1:10" x14ac:dyDescent="0.15">
      <c r="A136" s="31">
        <v>1129</v>
      </c>
      <c r="B136" s="31" t="s">
        <v>251</v>
      </c>
      <c r="C136" s="35">
        <f>INDEX(monster!$D$2:$D$700,MATCH(progress!A136,monster!$A$2:$A$700,0))</f>
        <v>1</v>
      </c>
      <c r="D136" s="35">
        <f>INDEX(monster!$E$2:$E$700,MATCH(progress!A136,monster!$A$2:$A$700,0))</f>
        <v>2</v>
      </c>
      <c r="E136" s="44">
        <f>INDEX(产销规划表!$G$5:$K$16,progress!D136+2,progress!C136)</f>
        <v>500</v>
      </c>
      <c r="F136" s="44">
        <v>2</v>
      </c>
      <c r="G136" s="70" t="s">
        <v>2555</v>
      </c>
      <c r="H136" s="44">
        <f>INDEX(产销规划表!$B$5:$F$16,progress!D136+2,progress!C136)</f>
        <v>20</v>
      </c>
      <c r="I136" s="70" t="s">
        <v>3068</v>
      </c>
      <c r="J136" s="44">
        <v>375</v>
      </c>
    </row>
    <row r="137" spans="1:10" x14ac:dyDescent="0.15">
      <c r="A137" s="31">
        <v>1130</v>
      </c>
      <c r="B137" s="31" t="s">
        <v>252</v>
      </c>
      <c r="C137" s="35">
        <f>INDEX(monster!$D$2:$D$700,MATCH(progress!A137,monster!$A$2:$A$700,0))</f>
        <v>1</v>
      </c>
      <c r="D137" s="35">
        <f>INDEX(monster!$E$2:$E$700,MATCH(progress!A137,monster!$A$2:$A$700,0))</f>
        <v>3</v>
      </c>
      <c r="E137" s="44">
        <f>INDEX(产销规划表!$G$5:$K$16,progress!D137+2,progress!C137)</f>
        <v>1500</v>
      </c>
      <c r="F137" s="44">
        <v>2</v>
      </c>
      <c r="G137" s="70" t="s">
        <v>2555</v>
      </c>
      <c r="H137" s="44">
        <f>INDEX(产销规划表!$B$5:$F$16,progress!D137+2,progress!C137)</f>
        <v>50</v>
      </c>
      <c r="I137" s="70" t="s">
        <v>3068</v>
      </c>
      <c r="J137" s="44">
        <v>625</v>
      </c>
    </row>
    <row r="138" spans="1:10" x14ac:dyDescent="0.15">
      <c r="A138" s="31">
        <v>1131</v>
      </c>
      <c r="B138" s="31" t="s">
        <v>253</v>
      </c>
      <c r="C138" s="35">
        <f>INDEX(monster!$D$2:$D$700,MATCH(progress!A138,monster!$A$2:$A$700,0))</f>
        <v>1</v>
      </c>
      <c r="D138" s="35">
        <f>INDEX(monster!$E$2:$E$700,MATCH(progress!A138,monster!$A$2:$A$700,0))</f>
        <v>4</v>
      </c>
      <c r="E138" s="44">
        <f>INDEX(产销规划表!$G$5:$K$16,progress!D138+2,progress!C138)</f>
        <v>4000</v>
      </c>
      <c r="F138" s="44">
        <v>2</v>
      </c>
      <c r="G138" s="70" t="s">
        <v>2555</v>
      </c>
      <c r="H138" s="44">
        <f>INDEX(产销规划表!$B$5:$F$16,progress!D138+2,progress!C138)</f>
        <v>80</v>
      </c>
      <c r="I138" s="70" t="s">
        <v>3068</v>
      </c>
      <c r="J138" s="44">
        <v>1000</v>
      </c>
    </row>
    <row r="139" spans="1:10" x14ac:dyDescent="0.15">
      <c r="A139" s="31">
        <v>1132</v>
      </c>
      <c r="B139" s="31" t="s">
        <v>254</v>
      </c>
      <c r="C139" s="35">
        <f>INDEX(monster!$D$2:$D$700,MATCH(progress!A139,monster!$A$2:$A$700,0))</f>
        <v>1</v>
      </c>
      <c r="D139" s="35">
        <f>INDEX(monster!$E$2:$E$700,MATCH(progress!A139,monster!$A$2:$A$700,0))</f>
        <v>5</v>
      </c>
      <c r="E139" s="44">
        <f>INDEX(产销规划表!$G$5:$K$16,progress!D139+2,progress!C139)</f>
        <v>10000</v>
      </c>
      <c r="F139" s="44">
        <v>2</v>
      </c>
      <c r="G139" s="70" t="s">
        <v>2555</v>
      </c>
      <c r="H139" s="44">
        <f>INDEX(产销规划表!$B$5:$F$16,progress!D139+2,progress!C139)</f>
        <v>120</v>
      </c>
      <c r="I139" s="70" t="s">
        <v>3068</v>
      </c>
      <c r="J139" s="44">
        <v>1625</v>
      </c>
    </row>
    <row r="140" spans="1:10" x14ac:dyDescent="0.15">
      <c r="A140" s="31">
        <v>1133</v>
      </c>
      <c r="B140" s="31" t="s">
        <v>255</v>
      </c>
      <c r="C140" s="35">
        <f>INDEX(monster!$D$2:$D$700,MATCH(progress!A140,monster!$A$2:$A$700,0))</f>
        <v>1</v>
      </c>
      <c r="D140" s="35">
        <f>INDEX(monster!$E$2:$E$700,MATCH(progress!A140,monster!$A$2:$A$700,0))</f>
        <v>6</v>
      </c>
      <c r="E140" s="44">
        <f>INDEX(产销规划表!$G$5:$K$16,progress!D140+2,progress!C140)</f>
        <v>20000</v>
      </c>
      <c r="F140" s="44">
        <v>2</v>
      </c>
      <c r="G140" s="70" t="s">
        <v>2555</v>
      </c>
      <c r="H140" s="44">
        <f>INDEX(产销规划表!$B$5:$F$16,progress!D140+2,progress!C140)</f>
        <v>200</v>
      </c>
      <c r="I140" s="70" t="s">
        <v>3068</v>
      </c>
      <c r="J140" s="44">
        <v>2500</v>
      </c>
    </row>
    <row r="141" spans="1:10" x14ac:dyDescent="0.15">
      <c r="A141" s="31">
        <v>1134</v>
      </c>
      <c r="B141" s="31" t="s">
        <v>256</v>
      </c>
      <c r="C141" s="35">
        <f>INDEX(monster!$D$2:$D$700,MATCH(progress!A141,monster!$A$2:$A$700,0))</f>
        <v>1</v>
      </c>
      <c r="D141" s="35">
        <f>INDEX(monster!$E$2:$E$700,MATCH(progress!A141,monster!$A$2:$A$700,0))</f>
        <v>7</v>
      </c>
      <c r="E141" s="44">
        <f>INDEX(产销规划表!$G$5:$K$16,progress!D141+2,progress!C141)</f>
        <v>40000</v>
      </c>
      <c r="F141" s="44">
        <v>2</v>
      </c>
      <c r="G141" s="70" t="s">
        <v>2555</v>
      </c>
      <c r="H141" s="44">
        <f>INDEX(产销规划表!$B$5:$F$16,progress!D141+2,progress!C141)</f>
        <v>350</v>
      </c>
      <c r="I141" s="70" t="s">
        <v>3068</v>
      </c>
      <c r="J141" s="44">
        <v>3750</v>
      </c>
    </row>
    <row r="142" spans="1:10" x14ac:dyDescent="0.15">
      <c r="A142" s="31">
        <v>1135</v>
      </c>
      <c r="B142" s="31" t="s">
        <v>257</v>
      </c>
      <c r="C142" s="35">
        <f>INDEX(monster!$D$2:$D$700,MATCH(progress!A142,monster!$A$2:$A$700,0))</f>
        <v>1</v>
      </c>
      <c r="D142" s="35">
        <f>INDEX(monster!$E$2:$E$700,MATCH(progress!A142,monster!$A$2:$A$700,0))</f>
        <v>8</v>
      </c>
      <c r="E142" s="44">
        <f>INDEX(产销规划表!$G$5:$K$16,progress!D142+2,progress!C142)</f>
        <v>100000</v>
      </c>
      <c r="F142" s="44">
        <v>2</v>
      </c>
      <c r="G142" s="70" t="s">
        <v>2555</v>
      </c>
      <c r="H142" s="44">
        <f>INDEX(产销规划表!$B$5:$F$16,progress!D142+2,progress!C142)</f>
        <v>600</v>
      </c>
      <c r="I142" s="70" t="s">
        <v>3068</v>
      </c>
      <c r="J142" s="44">
        <v>5750</v>
      </c>
    </row>
    <row r="143" spans="1:10" x14ac:dyDescent="0.15">
      <c r="A143" s="31">
        <v>1136</v>
      </c>
      <c r="B143" s="31" t="s">
        <v>258</v>
      </c>
      <c r="C143" s="35">
        <f>INDEX(monster!$D$2:$D$700,MATCH(progress!A143,monster!$A$2:$A$700,0))</f>
        <v>1</v>
      </c>
      <c r="D143" s="35">
        <f>INDEX(monster!$E$2:$E$700,MATCH(progress!A143,monster!$A$2:$A$700,0))</f>
        <v>9</v>
      </c>
      <c r="E143" s="44">
        <f>INDEX(产销规划表!$G$5:$K$16,progress!D143+2,progress!C143)</f>
        <v>200000</v>
      </c>
      <c r="F143" s="44">
        <v>2</v>
      </c>
      <c r="G143" s="70" t="s">
        <v>2555</v>
      </c>
      <c r="H143" s="44">
        <f>INDEX(产销规划表!$B$5:$F$16,progress!D143+2,progress!C143)</f>
        <v>1000</v>
      </c>
      <c r="I143" s="70" t="s">
        <v>3068</v>
      </c>
      <c r="J143" s="44">
        <v>9000</v>
      </c>
    </row>
    <row r="144" spans="1:10" x14ac:dyDescent="0.15">
      <c r="A144" s="31">
        <v>1137</v>
      </c>
      <c r="B144" s="31" t="s">
        <v>259</v>
      </c>
      <c r="C144" s="35">
        <f>INDEX(monster!$D$2:$D$700,MATCH(progress!A144,monster!$A$2:$A$700,0))</f>
        <v>1</v>
      </c>
      <c r="D144" s="35">
        <f>INDEX(monster!$E$2:$E$700,MATCH(progress!A144,monster!$A$2:$A$700,0))</f>
        <v>10</v>
      </c>
      <c r="E144" s="44">
        <f>INDEX(产销规划表!$G$5:$K$16,progress!D144+2,progress!C144)</f>
        <v>-1</v>
      </c>
      <c r="F144" s="44">
        <v>2</v>
      </c>
      <c r="G144" s="70" t="s">
        <v>2555</v>
      </c>
      <c r="H144" s="44">
        <f>INDEX(产销规划表!$B$5:$F$16,progress!D144+2,progress!C144)</f>
        <v>-1</v>
      </c>
      <c r="I144" s="70" t="s">
        <v>3068</v>
      </c>
      <c r="J144" s="44">
        <v>-1</v>
      </c>
    </row>
    <row r="145" spans="1:10" x14ac:dyDescent="0.15">
      <c r="A145" s="31">
        <v>1140</v>
      </c>
      <c r="B145" s="31" t="s">
        <v>1794</v>
      </c>
      <c r="C145" s="35">
        <f>INDEX(monster!$D$2:$D$700,MATCH(progress!A145,monster!$A$2:$A$700,0))</f>
        <v>4</v>
      </c>
      <c r="D145" s="35">
        <f>INDEX(monster!$E$2:$E$700,MATCH(progress!A145,monster!$A$2:$A$700,0))</f>
        <v>0</v>
      </c>
      <c r="E145" s="44">
        <f>INDEX(产销规划表!$G$5:$K$16,progress!D145+2,progress!C145)</f>
        <v>4000</v>
      </c>
      <c r="F145" s="44">
        <v>2</v>
      </c>
      <c r="G145" s="70" t="s">
        <v>2556</v>
      </c>
      <c r="H145" s="44">
        <f>INDEX(产销规划表!$B$5:$F$16,progress!D145+2,progress!C145)</f>
        <v>5</v>
      </c>
      <c r="I145" s="70" t="s">
        <v>3068</v>
      </c>
      <c r="J145" s="44">
        <v>625</v>
      </c>
    </row>
    <row r="146" spans="1:10" x14ac:dyDescent="0.15">
      <c r="A146" s="31">
        <v>1141</v>
      </c>
      <c r="B146" s="31" t="s">
        <v>1795</v>
      </c>
      <c r="C146" s="35">
        <f>INDEX(monster!$D$2:$D$700,MATCH(progress!A146,monster!$A$2:$A$700,0))</f>
        <v>4</v>
      </c>
      <c r="D146" s="35">
        <f>INDEX(monster!$E$2:$E$700,MATCH(progress!A146,monster!$A$2:$A$700,0))</f>
        <v>1</v>
      </c>
      <c r="E146" s="44">
        <f>INDEX(产销规划表!$G$5:$K$16,progress!D146+2,progress!C146)</f>
        <v>10000</v>
      </c>
      <c r="F146" s="44">
        <v>2</v>
      </c>
      <c r="G146" s="70" t="s">
        <v>2556</v>
      </c>
      <c r="H146" s="44">
        <f>INDEX(产销规划表!$B$5:$F$16,progress!D146+2,progress!C146)</f>
        <v>10</v>
      </c>
      <c r="I146" s="70" t="s">
        <v>3068</v>
      </c>
      <c r="J146" s="44">
        <v>1000</v>
      </c>
    </row>
    <row r="147" spans="1:10" x14ac:dyDescent="0.15">
      <c r="A147" s="31">
        <v>1142</v>
      </c>
      <c r="B147" s="31" t="s">
        <v>260</v>
      </c>
      <c r="C147" s="35">
        <f>INDEX(monster!$D$2:$D$700,MATCH(progress!A147,monster!$A$2:$A$700,0))</f>
        <v>4</v>
      </c>
      <c r="D147" s="35">
        <f>INDEX(monster!$E$2:$E$700,MATCH(progress!A147,monster!$A$2:$A$700,0))</f>
        <v>2</v>
      </c>
      <c r="E147" s="44">
        <f>INDEX(产销规划表!$G$5:$K$16,progress!D147+2,progress!C147)</f>
        <v>20000</v>
      </c>
      <c r="F147" s="44">
        <v>2</v>
      </c>
      <c r="G147" s="70" t="s">
        <v>2556</v>
      </c>
      <c r="H147" s="44">
        <f>INDEX(产销规划表!$B$5:$F$16,progress!D147+2,progress!C147)</f>
        <v>20</v>
      </c>
      <c r="I147" s="70" t="s">
        <v>3068</v>
      </c>
      <c r="J147" s="44">
        <v>1500</v>
      </c>
    </row>
    <row r="148" spans="1:10" x14ac:dyDescent="0.15">
      <c r="A148" s="31">
        <v>1143</v>
      </c>
      <c r="B148" s="31" t="s">
        <v>261</v>
      </c>
      <c r="C148" s="35">
        <f>INDEX(monster!$D$2:$D$700,MATCH(progress!A148,monster!$A$2:$A$700,0))</f>
        <v>4</v>
      </c>
      <c r="D148" s="35">
        <f>INDEX(monster!$E$2:$E$700,MATCH(progress!A148,monster!$A$2:$A$700,0))</f>
        <v>3</v>
      </c>
      <c r="E148" s="44">
        <f>INDEX(产销规划表!$G$5:$K$16,progress!D148+2,progress!C148)</f>
        <v>40000</v>
      </c>
      <c r="F148" s="44">
        <v>2</v>
      </c>
      <c r="G148" s="70" t="s">
        <v>2556</v>
      </c>
      <c r="H148" s="44">
        <f>INDEX(产销规划表!$B$5:$F$16,progress!D148+2,progress!C148)</f>
        <v>50</v>
      </c>
      <c r="I148" s="70" t="s">
        <v>3068</v>
      </c>
      <c r="J148" s="44">
        <v>2500</v>
      </c>
    </row>
    <row r="149" spans="1:10" x14ac:dyDescent="0.15">
      <c r="A149" s="31">
        <v>1144</v>
      </c>
      <c r="B149" s="31" t="s">
        <v>262</v>
      </c>
      <c r="C149" s="35">
        <f>INDEX(monster!$D$2:$D$700,MATCH(progress!A149,monster!$A$2:$A$700,0))</f>
        <v>4</v>
      </c>
      <c r="D149" s="35">
        <f>INDEX(monster!$E$2:$E$700,MATCH(progress!A149,monster!$A$2:$A$700,0))</f>
        <v>4</v>
      </c>
      <c r="E149" s="44">
        <f>INDEX(产销规划表!$G$5:$K$16,progress!D149+2,progress!C149)</f>
        <v>100000</v>
      </c>
      <c r="F149" s="44">
        <v>2</v>
      </c>
      <c r="G149" s="70" t="s">
        <v>2556</v>
      </c>
      <c r="H149" s="44">
        <f>INDEX(产销规划表!$B$5:$F$16,progress!D149+2,progress!C149)</f>
        <v>80</v>
      </c>
      <c r="I149" s="70" t="s">
        <v>3068</v>
      </c>
      <c r="J149" s="44">
        <v>3750</v>
      </c>
    </row>
    <row r="150" spans="1:10" x14ac:dyDescent="0.15">
      <c r="A150" s="31">
        <v>1145</v>
      </c>
      <c r="B150" s="31" t="s">
        <v>263</v>
      </c>
      <c r="C150" s="35">
        <f>INDEX(monster!$D$2:$D$700,MATCH(progress!A150,monster!$A$2:$A$700,0))</f>
        <v>4</v>
      </c>
      <c r="D150" s="35">
        <f>INDEX(monster!$E$2:$E$700,MATCH(progress!A150,monster!$A$2:$A$700,0))</f>
        <v>5</v>
      </c>
      <c r="E150" s="44">
        <f>INDEX(产销规划表!$G$5:$K$16,progress!D150+2,progress!C150)</f>
        <v>200000</v>
      </c>
      <c r="F150" s="44">
        <v>2</v>
      </c>
      <c r="G150" s="70" t="s">
        <v>2556</v>
      </c>
      <c r="H150" s="44">
        <f>INDEX(产销规划表!$B$5:$F$16,progress!D150+2,progress!C150)</f>
        <v>120</v>
      </c>
      <c r="I150" s="70" t="s">
        <v>3068</v>
      </c>
      <c r="J150" s="44">
        <v>6250</v>
      </c>
    </row>
    <row r="151" spans="1:10" x14ac:dyDescent="0.15">
      <c r="A151" s="31">
        <v>1146</v>
      </c>
      <c r="B151" s="31" t="s">
        <v>264</v>
      </c>
      <c r="C151" s="35">
        <f>INDEX(monster!$D$2:$D$700,MATCH(progress!A151,monster!$A$2:$A$700,0))</f>
        <v>4</v>
      </c>
      <c r="D151" s="35">
        <f>INDEX(monster!$E$2:$E$700,MATCH(progress!A151,monster!$A$2:$A$700,0))</f>
        <v>6</v>
      </c>
      <c r="E151" s="44">
        <f>INDEX(产销规划表!$G$5:$K$16,progress!D151+2,progress!C151)</f>
        <v>500000</v>
      </c>
      <c r="F151" s="44">
        <v>2</v>
      </c>
      <c r="G151" s="70" t="s">
        <v>2556</v>
      </c>
      <c r="H151" s="44">
        <f>INDEX(产销规划表!$B$5:$F$16,progress!D151+2,progress!C151)</f>
        <v>200</v>
      </c>
      <c r="I151" s="70" t="s">
        <v>3068</v>
      </c>
      <c r="J151" s="44">
        <v>10000</v>
      </c>
    </row>
    <row r="152" spans="1:10" x14ac:dyDescent="0.15">
      <c r="A152" s="31">
        <v>1147</v>
      </c>
      <c r="B152" s="31" t="s">
        <v>265</v>
      </c>
      <c r="C152" s="35">
        <f>INDEX(monster!$D$2:$D$700,MATCH(progress!A152,monster!$A$2:$A$700,0))</f>
        <v>4</v>
      </c>
      <c r="D152" s="35">
        <f>INDEX(monster!$E$2:$E$700,MATCH(progress!A152,monster!$A$2:$A$700,0))</f>
        <v>7</v>
      </c>
      <c r="E152" s="44">
        <f>INDEX(产销规划表!$G$5:$K$16,progress!D152+2,progress!C152)</f>
        <v>1000000</v>
      </c>
      <c r="F152" s="44">
        <v>2</v>
      </c>
      <c r="G152" s="70" t="s">
        <v>2556</v>
      </c>
      <c r="H152" s="44">
        <f>INDEX(产销规划表!$B$5:$F$16,progress!D152+2,progress!C152)</f>
        <v>350</v>
      </c>
      <c r="I152" s="70" t="s">
        <v>3068</v>
      </c>
      <c r="J152" s="44">
        <v>15000</v>
      </c>
    </row>
    <row r="153" spans="1:10" x14ac:dyDescent="0.15">
      <c r="A153" s="31">
        <v>1148</v>
      </c>
      <c r="B153" s="31" t="s">
        <v>266</v>
      </c>
      <c r="C153" s="35">
        <f>INDEX(monster!$D$2:$D$700,MATCH(progress!A153,monster!$A$2:$A$700,0))</f>
        <v>4</v>
      </c>
      <c r="D153" s="35">
        <f>INDEX(monster!$E$2:$E$700,MATCH(progress!A153,monster!$A$2:$A$700,0))</f>
        <v>8</v>
      </c>
      <c r="E153" s="44">
        <f>INDEX(产销规划表!$G$5:$K$16,progress!D153+2,progress!C153)</f>
        <v>2000000</v>
      </c>
      <c r="F153" s="44">
        <v>2</v>
      </c>
      <c r="G153" s="70" t="s">
        <v>2556</v>
      </c>
      <c r="H153" s="44">
        <f>INDEX(产销规划表!$B$5:$F$16,progress!D153+2,progress!C153)</f>
        <v>600</v>
      </c>
      <c r="I153" s="70" t="s">
        <v>3068</v>
      </c>
      <c r="J153" s="44">
        <v>22500</v>
      </c>
    </row>
    <row r="154" spans="1:10" x14ac:dyDescent="0.15">
      <c r="A154" s="31">
        <v>1149</v>
      </c>
      <c r="B154" s="31" t="s">
        <v>267</v>
      </c>
      <c r="C154" s="35">
        <f>INDEX(monster!$D$2:$D$700,MATCH(progress!A154,monster!$A$2:$A$700,0))</f>
        <v>4</v>
      </c>
      <c r="D154" s="35">
        <f>INDEX(monster!$E$2:$E$700,MATCH(progress!A154,monster!$A$2:$A$700,0))</f>
        <v>9</v>
      </c>
      <c r="E154" s="44">
        <f>INDEX(产销规划表!$G$5:$K$16,progress!D154+2,progress!C154)</f>
        <v>5000000</v>
      </c>
      <c r="F154" s="44">
        <v>2</v>
      </c>
      <c r="G154" s="70" t="s">
        <v>2556</v>
      </c>
      <c r="H154" s="44">
        <f>INDEX(产销规划表!$B$5:$F$16,progress!D154+2,progress!C154)</f>
        <v>1000</v>
      </c>
      <c r="I154" s="70" t="s">
        <v>3068</v>
      </c>
      <c r="J154" s="44">
        <v>35000</v>
      </c>
    </row>
    <row r="155" spans="1:10" x14ac:dyDescent="0.15">
      <c r="A155" s="31">
        <v>1150</v>
      </c>
      <c r="B155" s="31" t="s">
        <v>268</v>
      </c>
      <c r="C155" s="35">
        <f>INDEX(monster!$D$2:$D$700,MATCH(progress!A155,monster!$A$2:$A$700,0))</f>
        <v>4</v>
      </c>
      <c r="D155" s="35">
        <f>INDEX(monster!$E$2:$E$700,MATCH(progress!A155,monster!$A$2:$A$700,0))</f>
        <v>10</v>
      </c>
      <c r="E155" s="44">
        <f>INDEX(产销规划表!$G$5:$K$16,progress!D155+2,progress!C155)</f>
        <v>-1</v>
      </c>
      <c r="F155" s="44">
        <v>2</v>
      </c>
      <c r="G155" s="70" t="s">
        <v>2556</v>
      </c>
      <c r="H155" s="44">
        <f>INDEX(产销规划表!$B$5:$F$16,progress!D155+2,progress!C155)</f>
        <v>-1</v>
      </c>
      <c r="I155" s="70" t="s">
        <v>3068</v>
      </c>
      <c r="J155" s="44">
        <v>-1</v>
      </c>
    </row>
    <row r="156" spans="1:10" x14ac:dyDescent="0.15">
      <c r="A156" s="31">
        <v>1151</v>
      </c>
      <c r="B156" s="31" t="s">
        <v>1796</v>
      </c>
      <c r="C156" s="35">
        <f>INDEX(monster!$D$2:$D$700,MATCH(progress!A156,monster!$A$2:$A$700,0))</f>
        <v>3</v>
      </c>
      <c r="D156" s="35">
        <f>INDEX(monster!$E$2:$E$700,MATCH(progress!A156,monster!$A$2:$A$700,0))</f>
        <v>0</v>
      </c>
      <c r="E156" s="44">
        <f>INDEX(产销规划表!$G$5:$K$16,progress!D156+2,progress!C156)</f>
        <v>500</v>
      </c>
      <c r="F156" s="44">
        <v>2</v>
      </c>
      <c r="G156" s="70" t="s">
        <v>2557</v>
      </c>
      <c r="H156" s="44">
        <f>INDEX(产销规划表!$B$5:$F$16,progress!D156+2,progress!C156)</f>
        <v>5</v>
      </c>
      <c r="I156" s="70" t="s">
        <v>3068</v>
      </c>
      <c r="J156" s="44">
        <v>250</v>
      </c>
    </row>
    <row r="157" spans="1:10" x14ac:dyDescent="0.15">
      <c r="A157" s="31">
        <v>1152</v>
      </c>
      <c r="B157" s="31" t="s">
        <v>1797</v>
      </c>
      <c r="C157" s="35">
        <f>INDEX(monster!$D$2:$D$700,MATCH(progress!A157,monster!$A$2:$A$700,0))</f>
        <v>3</v>
      </c>
      <c r="D157" s="35">
        <f>INDEX(monster!$E$2:$E$700,MATCH(progress!A157,monster!$A$2:$A$700,0))</f>
        <v>1</v>
      </c>
      <c r="E157" s="44">
        <f>INDEX(产销规划表!$G$5:$K$16,progress!D157+2,progress!C157)</f>
        <v>1500</v>
      </c>
      <c r="F157" s="44">
        <v>2</v>
      </c>
      <c r="G157" s="70" t="s">
        <v>2557</v>
      </c>
      <c r="H157" s="44">
        <f>INDEX(产销规划表!$B$5:$F$16,progress!D157+2,progress!C157)</f>
        <v>10</v>
      </c>
      <c r="I157" s="70" t="s">
        <v>3068</v>
      </c>
      <c r="J157" s="44">
        <v>500</v>
      </c>
    </row>
    <row r="158" spans="1:10" x14ac:dyDescent="0.15">
      <c r="A158" s="31">
        <v>1153</v>
      </c>
      <c r="B158" s="31" t="s">
        <v>1798</v>
      </c>
      <c r="C158" s="35">
        <f>INDEX(monster!$D$2:$D$700,MATCH(progress!A158,monster!$A$2:$A$700,0))</f>
        <v>3</v>
      </c>
      <c r="D158" s="35">
        <f>INDEX(monster!$E$2:$E$700,MATCH(progress!A158,monster!$A$2:$A$700,0))</f>
        <v>2</v>
      </c>
      <c r="E158" s="44">
        <f>INDEX(产销规划表!$G$5:$K$16,progress!D158+2,progress!C158)</f>
        <v>4000</v>
      </c>
      <c r="F158" s="44">
        <v>2</v>
      </c>
      <c r="G158" s="70" t="s">
        <v>2557</v>
      </c>
      <c r="H158" s="44">
        <f>INDEX(产销规划表!$B$5:$F$16,progress!D158+2,progress!C158)</f>
        <v>20</v>
      </c>
      <c r="I158" s="70" t="s">
        <v>3068</v>
      </c>
      <c r="J158" s="44">
        <v>750</v>
      </c>
    </row>
    <row r="159" spans="1:10" x14ac:dyDescent="0.15">
      <c r="A159" s="31">
        <v>1154</v>
      </c>
      <c r="B159" s="31" t="s">
        <v>1799</v>
      </c>
      <c r="C159" s="35">
        <f>INDEX(monster!$D$2:$D$700,MATCH(progress!A159,monster!$A$2:$A$700,0))</f>
        <v>3</v>
      </c>
      <c r="D159" s="35">
        <f>INDEX(monster!$E$2:$E$700,MATCH(progress!A159,monster!$A$2:$A$700,0))</f>
        <v>3</v>
      </c>
      <c r="E159" s="44">
        <f>INDEX(产销规划表!$G$5:$K$16,progress!D159+2,progress!C159)</f>
        <v>10000</v>
      </c>
      <c r="F159" s="44">
        <v>2</v>
      </c>
      <c r="G159" s="70" t="s">
        <v>2557</v>
      </c>
      <c r="H159" s="44">
        <f>INDEX(产销规划表!$B$5:$F$16,progress!D159+2,progress!C159)</f>
        <v>50</v>
      </c>
      <c r="I159" s="70" t="s">
        <v>3068</v>
      </c>
      <c r="J159" s="44">
        <v>1250</v>
      </c>
    </row>
    <row r="160" spans="1:10" x14ac:dyDescent="0.15">
      <c r="A160" s="31">
        <v>1155</v>
      </c>
      <c r="B160" s="31" t="s">
        <v>1800</v>
      </c>
      <c r="C160" s="35">
        <f>INDEX(monster!$D$2:$D$700,MATCH(progress!A160,monster!$A$2:$A$700,0))</f>
        <v>3</v>
      </c>
      <c r="D160" s="35">
        <f>INDEX(monster!$E$2:$E$700,MATCH(progress!A160,monster!$A$2:$A$700,0))</f>
        <v>4</v>
      </c>
      <c r="E160" s="44">
        <f>INDEX(产销规划表!$G$5:$K$16,progress!D160+2,progress!C160)</f>
        <v>20000</v>
      </c>
      <c r="F160" s="44">
        <v>2</v>
      </c>
      <c r="G160" s="70" t="s">
        <v>2557</v>
      </c>
      <c r="H160" s="44">
        <f>INDEX(产销规划表!$B$5:$F$16,progress!D160+2,progress!C160)</f>
        <v>80</v>
      </c>
      <c r="I160" s="70" t="s">
        <v>3068</v>
      </c>
      <c r="J160" s="44">
        <v>2000</v>
      </c>
    </row>
    <row r="161" spans="1:10" x14ac:dyDescent="0.15">
      <c r="A161" s="31">
        <v>1156</v>
      </c>
      <c r="B161" s="31" t="s">
        <v>1801</v>
      </c>
      <c r="C161" s="35">
        <f>INDEX(monster!$D$2:$D$700,MATCH(progress!A161,monster!$A$2:$A$700,0))</f>
        <v>3</v>
      </c>
      <c r="D161" s="35">
        <f>INDEX(monster!$E$2:$E$700,MATCH(progress!A161,monster!$A$2:$A$700,0))</f>
        <v>5</v>
      </c>
      <c r="E161" s="44">
        <f>INDEX(产销规划表!$G$5:$K$16,progress!D161+2,progress!C161)</f>
        <v>40000</v>
      </c>
      <c r="F161" s="44">
        <v>2</v>
      </c>
      <c r="G161" s="70" t="s">
        <v>2557</v>
      </c>
      <c r="H161" s="44">
        <f>INDEX(产销规划表!$B$5:$F$16,progress!D161+2,progress!C161)</f>
        <v>120</v>
      </c>
      <c r="I161" s="70" t="s">
        <v>3068</v>
      </c>
      <c r="J161" s="44">
        <v>3250</v>
      </c>
    </row>
    <row r="162" spans="1:10" x14ac:dyDescent="0.15">
      <c r="A162" s="31">
        <v>1157</v>
      </c>
      <c r="B162" s="31" t="s">
        <v>1802</v>
      </c>
      <c r="C162" s="35">
        <f>INDEX(monster!$D$2:$D$700,MATCH(progress!A162,monster!$A$2:$A$700,0))</f>
        <v>3</v>
      </c>
      <c r="D162" s="35">
        <f>INDEX(monster!$E$2:$E$700,MATCH(progress!A162,monster!$A$2:$A$700,0))</f>
        <v>6</v>
      </c>
      <c r="E162" s="44">
        <f>INDEX(产销规划表!$G$5:$K$16,progress!D162+2,progress!C162)</f>
        <v>100000</v>
      </c>
      <c r="F162" s="44">
        <v>2</v>
      </c>
      <c r="G162" s="70" t="s">
        <v>2557</v>
      </c>
      <c r="H162" s="44">
        <f>INDEX(产销规划表!$B$5:$F$16,progress!D162+2,progress!C162)</f>
        <v>200</v>
      </c>
      <c r="I162" s="70" t="s">
        <v>3068</v>
      </c>
      <c r="J162" s="44">
        <v>5000</v>
      </c>
    </row>
    <row r="163" spans="1:10" x14ac:dyDescent="0.15">
      <c r="A163" s="31">
        <v>1158</v>
      </c>
      <c r="B163" s="31" t="s">
        <v>1803</v>
      </c>
      <c r="C163" s="35">
        <f>INDEX(monster!$D$2:$D$700,MATCH(progress!A163,monster!$A$2:$A$700,0))</f>
        <v>3</v>
      </c>
      <c r="D163" s="35">
        <f>INDEX(monster!$E$2:$E$700,MATCH(progress!A163,monster!$A$2:$A$700,0))</f>
        <v>7</v>
      </c>
      <c r="E163" s="44">
        <f>INDEX(产销规划表!$G$5:$K$16,progress!D163+2,progress!C163)</f>
        <v>200000</v>
      </c>
      <c r="F163" s="44">
        <v>2</v>
      </c>
      <c r="G163" s="70" t="s">
        <v>2557</v>
      </c>
      <c r="H163" s="44">
        <f>INDEX(产销规划表!$B$5:$F$16,progress!D163+2,progress!C163)</f>
        <v>350</v>
      </c>
      <c r="I163" s="70" t="s">
        <v>3068</v>
      </c>
      <c r="J163" s="44">
        <v>7500</v>
      </c>
    </row>
    <row r="164" spans="1:10" x14ac:dyDescent="0.15">
      <c r="A164" s="31">
        <v>1159</v>
      </c>
      <c r="B164" s="31" t="s">
        <v>1804</v>
      </c>
      <c r="C164" s="35">
        <f>INDEX(monster!$D$2:$D$700,MATCH(progress!A164,monster!$A$2:$A$700,0))</f>
        <v>3</v>
      </c>
      <c r="D164" s="35">
        <f>INDEX(monster!$E$2:$E$700,MATCH(progress!A164,monster!$A$2:$A$700,0))</f>
        <v>8</v>
      </c>
      <c r="E164" s="44">
        <f>INDEX(产销规划表!$G$5:$K$16,progress!D164+2,progress!C164)</f>
        <v>500000</v>
      </c>
      <c r="F164" s="44">
        <v>2</v>
      </c>
      <c r="G164" s="70" t="s">
        <v>2557</v>
      </c>
      <c r="H164" s="44">
        <f>INDEX(产销规划表!$B$5:$F$16,progress!D164+2,progress!C164)</f>
        <v>600</v>
      </c>
      <c r="I164" s="70" t="s">
        <v>3068</v>
      </c>
      <c r="J164" s="44">
        <v>11250</v>
      </c>
    </row>
    <row r="165" spans="1:10" x14ac:dyDescent="0.15">
      <c r="A165" s="31">
        <v>1160</v>
      </c>
      <c r="B165" s="31" t="s">
        <v>1805</v>
      </c>
      <c r="C165" s="35">
        <f>INDEX(monster!$D$2:$D$700,MATCH(progress!A165,monster!$A$2:$A$700,0))</f>
        <v>3</v>
      </c>
      <c r="D165" s="35">
        <f>INDEX(monster!$E$2:$E$700,MATCH(progress!A165,monster!$A$2:$A$700,0))</f>
        <v>9</v>
      </c>
      <c r="E165" s="44">
        <f>INDEX(产销规划表!$G$5:$K$16,progress!D165+2,progress!C165)</f>
        <v>1000000</v>
      </c>
      <c r="F165" s="44">
        <v>2</v>
      </c>
      <c r="G165" s="70" t="s">
        <v>2557</v>
      </c>
      <c r="H165" s="44">
        <f>INDEX(产销规划表!$B$5:$F$16,progress!D165+2,progress!C165)</f>
        <v>1000</v>
      </c>
      <c r="I165" s="70" t="s">
        <v>3068</v>
      </c>
      <c r="J165" s="44">
        <v>18000</v>
      </c>
    </row>
    <row r="166" spans="1:10" x14ac:dyDescent="0.15">
      <c r="A166" s="31">
        <v>1161</v>
      </c>
      <c r="B166" s="31" t="s">
        <v>1806</v>
      </c>
      <c r="C166" s="35">
        <f>INDEX(monster!$D$2:$D$700,MATCH(progress!A166,monster!$A$2:$A$700,0))</f>
        <v>3</v>
      </c>
      <c r="D166" s="35">
        <f>INDEX(monster!$E$2:$E$700,MATCH(progress!A166,monster!$A$2:$A$700,0))</f>
        <v>10</v>
      </c>
      <c r="E166" s="44">
        <f>INDEX(产销规划表!$G$5:$K$16,progress!D166+2,progress!C166)</f>
        <v>-1</v>
      </c>
      <c r="F166" s="44">
        <v>2</v>
      </c>
      <c r="G166" s="70" t="s">
        <v>2557</v>
      </c>
      <c r="H166" s="44">
        <f>INDEX(产销规划表!$B$5:$F$16,progress!D166+2,progress!C166)</f>
        <v>-1</v>
      </c>
      <c r="I166" s="70" t="s">
        <v>3068</v>
      </c>
      <c r="J166" s="44">
        <v>-1</v>
      </c>
    </row>
    <row r="167" spans="1:10" x14ac:dyDescent="0.15">
      <c r="A167" s="31">
        <v>1162</v>
      </c>
      <c r="B167" s="31" t="s">
        <v>1807</v>
      </c>
      <c r="C167" s="35">
        <f>INDEX(monster!$D$2:$D$700,MATCH(progress!A167,monster!$A$2:$A$700,0))</f>
        <v>3</v>
      </c>
      <c r="D167" s="35">
        <f>INDEX(monster!$E$2:$E$700,MATCH(progress!A167,monster!$A$2:$A$700,0))</f>
        <v>0</v>
      </c>
      <c r="E167" s="44">
        <f>INDEX(产销规划表!$G$5:$K$16,progress!D167+2,progress!C167)</f>
        <v>500</v>
      </c>
      <c r="F167" s="44">
        <v>2</v>
      </c>
      <c r="G167" s="70" t="s">
        <v>2558</v>
      </c>
      <c r="H167" s="44">
        <f>INDEX(产销规划表!$B$5:$F$16,progress!D167+2,progress!C167)</f>
        <v>5</v>
      </c>
      <c r="I167" s="70" t="s">
        <v>3068</v>
      </c>
      <c r="J167" s="44">
        <v>250</v>
      </c>
    </row>
    <row r="168" spans="1:10" x14ac:dyDescent="0.15">
      <c r="A168" s="31">
        <v>1163</v>
      </c>
      <c r="B168" s="31" t="s">
        <v>1808</v>
      </c>
      <c r="C168" s="35">
        <f>INDEX(monster!$D$2:$D$700,MATCH(progress!A168,monster!$A$2:$A$700,0))</f>
        <v>3</v>
      </c>
      <c r="D168" s="35">
        <f>INDEX(monster!$E$2:$E$700,MATCH(progress!A168,monster!$A$2:$A$700,0))</f>
        <v>1</v>
      </c>
      <c r="E168" s="44">
        <f>INDEX(产销规划表!$G$5:$K$16,progress!D168+2,progress!C168)</f>
        <v>1500</v>
      </c>
      <c r="F168" s="44">
        <v>2</v>
      </c>
      <c r="G168" s="70" t="s">
        <v>2558</v>
      </c>
      <c r="H168" s="44">
        <f>INDEX(产销规划表!$B$5:$F$16,progress!D168+2,progress!C168)</f>
        <v>10</v>
      </c>
      <c r="I168" s="70" t="s">
        <v>3068</v>
      </c>
      <c r="J168" s="44">
        <v>500</v>
      </c>
    </row>
    <row r="169" spans="1:10" x14ac:dyDescent="0.15">
      <c r="A169" s="31">
        <v>1164</v>
      </c>
      <c r="B169" s="31" t="s">
        <v>269</v>
      </c>
      <c r="C169" s="35">
        <f>INDEX(monster!$D$2:$D$700,MATCH(progress!A169,monster!$A$2:$A$700,0))</f>
        <v>3</v>
      </c>
      <c r="D169" s="35">
        <f>INDEX(monster!$E$2:$E$700,MATCH(progress!A169,monster!$A$2:$A$700,0))</f>
        <v>2</v>
      </c>
      <c r="E169" s="44">
        <f>INDEX(产销规划表!$G$5:$K$16,progress!D169+2,progress!C169)</f>
        <v>4000</v>
      </c>
      <c r="F169" s="44">
        <v>2</v>
      </c>
      <c r="G169" s="70" t="s">
        <v>2558</v>
      </c>
      <c r="H169" s="44">
        <f>INDEX(产销规划表!$B$5:$F$16,progress!D169+2,progress!C169)</f>
        <v>20</v>
      </c>
      <c r="I169" s="70" t="s">
        <v>3068</v>
      </c>
      <c r="J169" s="44">
        <v>750</v>
      </c>
    </row>
    <row r="170" spans="1:10" x14ac:dyDescent="0.15">
      <c r="A170" s="31">
        <v>1165</v>
      </c>
      <c r="B170" s="31" t="s">
        <v>270</v>
      </c>
      <c r="C170" s="35">
        <f>INDEX(monster!$D$2:$D$700,MATCH(progress!A170,monster!$A$2:$A$700,0))</f>
        <v>3</v>
      </c>
      <c r="D170" s="35">
        <f>INDEX(monster!$E$2:$E$700,MATCH(progress!A170,monster!$A$2:$A$700,0))</f>
        <v>3</v>
      </c>
      <c r="E170" s="44">
        <f>INDEX(产销规划表!$G$5:$K$16,progress!D170+2,progress!C170)</f>
        <v>10000</v>
      </c>
      <c r="F170" s="44">
        <v>2</v>
      </c>
      <c r="G170" s="70" t="s">
        <v>2558</v>
      </c>
      <c r="H170" s="44">
        <f>INDEX(产销规划表!$B$5:$F$16,progress!D170+2,progress!C170)</f>
        <v>50</v>
      </c>
      <c r="I170" s="70" t="s">
        <v>3068</v>
      </c>
      <c r="J170" s="44">
        <v>1250</v>
      </c>
    </row>
    <row r="171" spans="1:10" x14ac:dyDescent="0.15">
      <c r="A171" s="31">
        <v>1166</v>
      </c>
      <c r="B171" s="31" t="s">
        <v>271</v>
      </c>
      <c r="C171" s="35">
        <f>INDEX(monster!$D$2:$D$700,MATCH(progress!A171,monster!$A$2:$A$700,0))</f>
        <v>3</v>
      </c>
      <c r="D171" s="35">
        <f>INDEX(monster!$E$2:$E$700,MATCH(progress!A171,monster!$A$2:$A$700,0))</f>
        <v>4</v>
      </c>
      <c r="E171" s="44">
        <f>INDEX(产销规划表!$G$5:$K$16,progress!D171+2,progress!C171)</f>
        <v>20000</v>
      </c>
      <c r="F171" s="44">
        <v>2</v>
      </c>
      <c r="G171" s="70" t="s">
        <v>2558</v>
      </c>
      <c r="H171" s="44">
        <f>INDEX(产销规划表!$B$5:$F$16,progress!D171+2,progress!C171)</f>
        <v>80</v>
      </c>
      <c r="I171" s="70" t="s">
        <v>3068</v>
      </c>
      <c r="J171" s="44">
        <v>2000</v>
      </c>
    </row>
    <row r="172" spans="1:10" x14ac:dyDescent="0.15">
      <c r="A172" s="31">
        <v>1167</v>
      </c>
      <c r="B172" s="31" t="s">
        <v>272</v>
      </c>
      <c r="C172" s="35">
        <f>INDEX(monster!$D$2:$D$700,MATCH(progress!A172,monster!$A$2:$A$700,0))</f>
        <v>3</v>
      </c>
      <c r="D172" s="35">
        <f>INDEX(monster!$E$2:$E$700,MATCH(progress!A172,monster!$A$2:$A$700,0))</f>
        <v>5</v>
      </c>
      <c r="E172" s="44">
        <f>INDEX(产销规划表!$G$5:$K$16,progress!D172+2,progress!C172)</f>
        <v>40000</v>
      </c>
      <c r="F172" s="44">
        <v>2</v>
      </c>
      <c r="G172" s="70" t="s">
        <v>2558</v>
      </c>
      <c r="H172" s="44">
        <f>INDEX(产销规划表!$B$5:$F$16,progress!D172+2,progress!C172)</f>
        <v>120</v>
      </c>
      <c r="I172" s="70" t="s">
        <v>3068</v>
      </c>
      <c r="J172" s="44">
        <v>3250</v>
      </c>
    </row>
    <row r="173" spans="1:10" x14ac:dyDescent="0.15">
      <c r="A173" s="31">
        <v>1168</v>
      </c>
      <c r="B173" s="31" t="s">
        <v>273</v>
      </c>
      <c r="C173" s="35">
        <f>INDEX(monster!$D$2:$D$700,MATCH(progress!A173,monster!$A$2:$A$700,0))</f>
        <v>3</v>
      </c>
      <c r="D173" s="35">
        <f>INDEX(monster!$E$2:$E$700,MATCH(progress!A173,monster!$A$2:$A$700,0))</f>
        <v>6</v>
      </c>
      <c r="E173" s="44">
        <f>INDEX(产销规划表!$G$5:$K$16,progress!D173+2,progress!C173)</f>
        <v>100000</v>
      </c>
      <c r="F173" s="44">
        <v>2</v>
      </c>
      <c r="G173" s="70" t="s">
        <v>2558</v>
      </c>
      <c r="H173" s="44">
        <f>INDEX(产销规划表!$B$5:$F$16,progress!D173+2,progress!C173)</f>
        <v>200</v>
      </c>
      <c r="I173" s="70" t="s">
        <v>3068</v>
      </c>
      <c r="J173" s="44">
        <v>5000</v>
      </c>
    </row>
    <row r="174" spans="1:10" x14ac:dyDescent="0.15">
      <c r="A174" s="31">
        <v>1169</v>
      </c>
      <c r="B174" s="31" t="s">
        <v>274</v>
      </c>
      <c r="C174" s="35">
        <f>INDEX(monster!$D$2:$D$700,MATCH(progress!A174,monster!$A$2:$A$700,0))</f>
        <v>3</v>
      </c>
      <c r="D174" s="35">
        <f>INDEX(monster!$E$2:$E$700,MATCH(progress!A174,monster!$A$2:$A$700,0))</f>
        <v>7</v>
      </c>
      <c r="E174" s="44">
        <f>INDEX(产销规划表!$G$5:$K$16,progress!D174+2,progress!C174)</f>
        <v>200000</v>
      </c>
      <c r="F174" s="44">
        <v>2</v>
      </c>
      <c r="G174" s="70" t="s">
        <v>2558</v>
      </c>
      <c r="H174" s="44">
        <f>INDEX(产销规划表!$B$5:$F$16,progress!D174+2,progress!C174)</f>
        <v>350</v>
      </c>
      <c r="I174" s="70" t="s">
        <v>3068</v>
      </c>
      <c r="J174" s="44">
        <v>7500</v>
      </c>
    </row>
    <row r="175" spans="1:10" x14ac:dyDescent="0.15">
      <c r="A175" s="31">
        <v>1170</v>
      </c>
      <c r="B175" s="31" t="s">
        <v>275</v>
      </c>
      <c r="C175" s="35">
        <f>INDEX(monster!$D$2:$D$700,MATCH(progress!A175,monster!$A$2:$A$700,0))</f>
        <v>3</v>
      </c>
      <c r="D175" s="35">
        <f>INDEX(monster!$E$2:$E$700,MATCH(progress!A175,monster!$A$2:$A$700,0))</f>
        <v>8</v>
      </c>
      <c r="E175" s="44">
        <f>INDEX(产销规划表!$G$5:$K$16,progress!D175+2,progress!C175)</f>
        <v>500000</v>
      </c>
      <c r="F175" s="44">
        <v>2</v>
      </c>
      <c r="G175" s="70" t="s">
        <v>2558</v>
      </c>
      <c r="H175" s="44">
        <f>INDEX(产销规划表!$B$5:$F$16,progress!D175+2,progress!C175)</f>
        <v>600</v>
      </c>
      <c r="I175" s="70" t="s">
        <v>3068</v>
      </c>
      <c r="J175" s="44">
        <v>11250</v>
      </c>
    </row>
    <row r="176" spans="1:10" x14ac:dyDescent="0.15">
      <c r="A176" s="31">
        <v>1171</v>
      </c>
      <c r="B176" s="31" t="s">
        <v>276</v>
      </c>
      <c r="C176" s="35">
        <f>INDEX(monster!$D$2:$D$700,MATCH(progress!A176,monster!$A$2:$A$700,0))</f>
        <v>3</v>
      </c>
      <c r="D176" s="35">
        <f>INDEX(monster!$E$2:$E$700,MATCH(progress!A176,monster!$A$2:$A$700,0))</f>
        <v>9</v>
      </c>
      <c r="E176" s="44">
        <f>INDEX(产销规划表!$G$5:$K$16,progress!D176+2,progress!C176)</f>
        <v>1000000</v>
      </c>
      <c r="F176" s="44">
        <v>2</v>
      </c>
      <c r="G176" s="70" t="s">
        <v>2558</v>
      </c>
      <c r="H176" s="44">
        <f>INDEX(产销规划表!$B$5:$F$16,progress!D176+2,progress!C176)</f>
        <v>1000</v>
      </c>
      <c r="I176" s="70" t="s">
        <v>3068</v>
      </c>
      <c r="J176" s="44">
        <v>18000</v>
      </c>
    </row>
    <row r="177" spans="1:10" x14ac:dyDescent="0.15">
      <c r="A177" s="31">
        <v>1172</v>
      </c>
      <c r="B177" s="31" t="s">
        <v>277</v>
      </c>
      <c r="C177" s="35">
        <f>INDEX(monster!$D$2:$D$700,MATCH(progress!A177,monster!$A$2:$A$700,0))</f>
        <v>3</v>
      </c>
      <c r="D177" s="35">
        <f>INDEX(monster!$E$2:$E$700,MATCH(progress!A177,monster!$A$2:$A$700,0))</f>
        <v>10</v>
      </c>
      <c r="E177" s="44">
        <f>INDEX(产销规划表!$G$5:$K$16,progress!D177+2,progress!C177)</f>
        <v>-1</v>
      </c>
      <c r="F177" s="44">
        <v>2</v>
      </c>
      <c r="G177" s="70" t="s">
        <v>2558</v>
      </c>
      <c r="H177" s="44">
        <f>INDEX(产销规划表!$B$5:$F$16,progress!D177+2,progress!C177)</f>
        <v>-1</v>
      </c>
      <c r="I177" s="70" t="s">
        <v>3068</v>
      </c>
      <c r="J177" s="44">
        <v>-1</v>
      </c>
    </row>
    <row r="178" spans="1:10" x14ac:dyDescent="0.15">
      <c r="A178" s="31">
        <v>1173</v>
      </c>
      <c r="B178" s="31" t="s">
        <v>1809</v>
      </c>
      <c r="C178" s="35">
        <f>INDEX(monster!$D$2:$D$700,MATCH(progress!A178,monster!$A$2:$A$700,0))</f>
        <v>1</v>
      </c>
      <c r="D178" s="35">
        <f>INDEX(monster!$E$2:$E$700,MATCH(progress!A178,monster!$A$2:$A$700,0))</f>
        <v>0</v>
      </c>
      <c r="E178" s="44">
        <f>INDEX(产销规划表!$G$5:$K$16,progress!D178+2,progress!C178)</f>
        <v>100</v>
      </c>
      <c r="F178" s="44">
        <v>2</v>
      </c>
      <c r="G178" s="70" t="s">
        <v>2559</v>
      </c>
      <c r="H178" s="44">
        <f>INDEX(产销规划表!$B$5:$F$16,progress!D178+2,progress!C178)</f>
        <v>5</v>
      </c>
      <c r="I178" s="70" t="s">
        <v>3068</v>
      </c>
      <c r="J178" s="44">
        <v>125</v>
      </c>
    </row>
    <row r="179" spans="1:10" x14ac:dyDescent="0.15">
      <c r="A179" s="31">
        <v>1174</v>
      </c>
      <c r="B179" s="31" t="s">
        <v>1810</v>
      </c>
      <c r="C179" s="35">
        <f>INDEX(monster!$D$2:$D$700,MATCH(progress!A179,monster!$A$2:$A$700,0))</f>
        <v>1</v>
      </c>
      <c r="D179" s="35">
        <f>INDEX(monster!$E$2:$E$700,MATCH(progress!A179,monster!$A$2:$A$700,0))</f>
        <v>1</v>
      </c>
      <c r="E179" s="44">
        <f>INDEX(产销规划表!$G$5:$K$16,progress!D179+2,progress!C179)</f>
        <v>200</v>
      </c>
      <c r="F179" s="44">
        <v>2</v>
      </c>
      <c r="G179" s="70" t="s">
        <v>2559</v>
      </c>
      <c r="H179" s="44">
        <f>INDEX(产销规划表!$B$5:$F$16,progress!D179+2,progress!C179)</f>
        <v>10</v>
      </c>
      <c r="I179" s="70" t="s">
        <v>3068</v>
      </c>
      <c r="J179" s="44">
        <v>250</v>
      </c>
    </row>
    <row r="180" spans="1:10" x14ac:dyDescent="0.15">
      <c r="A180" s="31">
        <v>1175</v>
      </c>
      <c r="B180" s="31" t="s">
        <v>278</v>
      </c>
      <c r="C180" s="35">
        <f>INDEX(monster!$D$2:$D$700,MATCH(progress!A180,monster!$A$2:$A$700,0))</f>
        <v>1</v>
      </c>
      <c r="D180" s="35">
        <f>INDEX(monster!$E$2:$E$700,MATCH(progress!A180,monster!$A$2:$A$700,0))</f>
        <v>2</v>
      </c>
      <c r="E180" s="44">
        <f>INDEX(产销规划表!$G$5:$K$16,progress!D180+2,progress!C180)</f>
        <v>500</v>
      </c>
      <c r="F180" s="44">
        <v>2</v>
      </c>
      <c r="G180" s="70" t="s">
        <v>2559</v>
      </c>
      <c r="H180" s="44">
        <f>INDEX(产销规划表!$B$5:$F$16,progress!D180+2,progress!C180)</f>
        <v>20</v>
      </c>
      <c r="I180" s="70" t="s">
        <v>3068</v>
      </c>
      <c r="J180" s="44">
        <v>375</v>
      </c>
    </row>
    <row r="181" spans="1:10" x14ac:dyDescent="0.15">
      <c r="A181" s="31">
        <v>1176</v>
      </c>
      <c r="B181" s="31" t="s">
        <v>279</v>
      </c>
      <c r="C181" s="35">
        <f>INDEX(monster!$D$2:$D$700,MATCH(progress!A181,monster!$A$2:$A$700,0))</f>
        <v>1</v>
      </c>
      <c r="D181" s="35">
        <f>INDEX(monster!$E$2:$E$700,MATCH(progress!A181,monster!$A$2:$A$700,0))</f>
        <v>3</v>
      </c>
      <c r="E181" s="44">
        <f>INDEX(产销规划表!$G$5:$K$16,progress!D181+2,progress!C181)</f>
        <v>1500</v>
      </c>
      <c r="F181" s="44">
        <v>2</v>
      </c>
      <c r="G181" s="70" t="s">
        <v>2559</v>
      </c>
      <c r="H181" s="44">
        <f>INDEX(产销规划表!$B$5:$F$16,progress!D181+2,progress!C181)</f>
        <v>50</v>
      </c>
      <c r="I181" s="70" t="s">
        <v>3068</v>
      </c>
      <c r="J181" s="44">
        <v>625</v>
      </c>
    </row>
    <row r="182" spans="1:10" x14ac:dyDescent="0.15">
      <c r="A182" s="31">
        <v>1177</v>
      </c>
      <c r="B182" s="31" t="s">
        <v>280</v>
      </c>
      <c r="C182" s="35">
        <f>INDEX(monster!$D$2:$D$700,MATCH(progress!A182,monster!$A$2:$A$700,0))</f>
        <v>1</v>
      </c>
      <c r="D182" s="35">
        <f>INDEX(monster!$E$2:$E$700,MATCH(progress!A182,monster!$A$2:$A$700,0))</f>
        <v>4</v>
      </c>
      <c r="E182" s="44">
        <f>INDEX(产销规划表!$G$5:$K$16,progress!D182+2,progress!C182)</f>
        <v>4000</v>
      </c>
      <c r="F182" s="44">
        <v>2</v>
      </c>
      <c r="G182" s="70" t="s">
        <v>2559</v>
      </c>
      <c r="H182" s="44">
        <f>INDEX(产销规划表!$B$5:$F$16,progress!D182+2,progress!C182)</f>
        <v>80</v>
      </c>
      <c r="I182" s="70" t="s">
        <v>3068</v>
      </c>
      <c r="J182" s="44">
        <v>1000</v>
      </c>
    </row>
    <row r="183" spans="1:10" x14ac:dyDescent="0.15">
      <c r="A183" s="31">
        <v>1178</v>
      </c>
      <c r="B183" s="31" t="s">
        <v>281</v>
      </c>
      <c r="C183" s="35">
        <f>INDEX(monster!$D$2:$D$700,MATCH(progress!A183,monster!$A$2:$A$700,0))</f>
        <v>1</v>
      </c>
      <c r="D183" s="35">
        <f>INDEX(monster!$E$2:$E$700,MATCH(progress!A183,monster!$A$2:$A$700,0))</f>
        <v>5</v>
      </c>
      <c r="E183" s="44">
        <f>INDEX(产销规划表!$G$5:$K$16,progress!D183+2,progress!C183)</f>
        <v>10000</v>
      </c>
      <c r="F183" s="44">
        <v>2</v>
      </c>
      <c r="G183" s="70" t="s">
        <v>2559</v>
      </c>
      <c r="H183" s="44">
        <f>INDEX(产销规划表!$B$5:$F$16,progress!D183+2,progress!C183)</f>
        <v>120</v>
      </c>
      <c r="I183" s="70" t="s">
        <v>3068</v>
      </c>
      <c r="J183" s="44">
        <v>1625</v>
      </c>
    </row>
    <row r="184" spans="1:10" x14ac:dyDescent="0.15">
      <c r="A184" s="31">
        <v>1179</v>
      </c>
      <c r="B184" s="31" t="s">
        <v>282</v>
      </c>
      <c r="C184" s="35">
        <f>INDEX(monster!$D$2:$D$700,MATCH(progress!A184,monster!$A$2:$A$700,0))</f>
        <v>1</v>
      </c>
      <c r="D184" s="35">
        <f>INDEX(monster!$E$2:$E$700,MATCH(progress!A184,monster!$A$2:$A$700,0))</f>
        <v>6</v>
      </c>
      <c r="E184" s="44">
        <f>INDEX(产销规划表!$G$5:$K$16,progress!D184+2,progress!C184)</f>
        <v>20000</v>
      </c>
      <c r="F184" s="44">
        <v>2</v>
      </c>
      <c r="G184" s="70" t="s">
        <v>2559</v>
      </c>
      <c r="H184" s="44">
        <f>INDEX(产销规划表!$B$5:$F$16,progress!D184+2,progress!C184)</f>
        <v>200</v>
      </c>
      <c r="I184" s="70" t="s">
        <v>3068</v>
      </c>
      <c r="J184" s="44">
        <v>2500</v>
      </c>
    </row>
    <row r="185" spans="1:10" x14ac:dyDescent="0.15">
      <c r="A185" s="31">
        <v>1180</v>
      </c>
      <c r="B185" s="31" t="s">
        <v>283</v>
      </c>
      <c r="C185" s="35">
        <f>INDEX(monster!$D$2:$D$700,MATCH(progress!A185,monster!$A$2:$A$700,0))</f>
        <v>1</v>
      </c>
      <c r="D185" s="35">
        <f>INDEX(monster!$E$2:$E$700,MATCH(progress!A185,monster!$A$2:$A$700,0))</f>
        <v>7</v>
      </c>
      <c r="E185" s="44">
        <f>INDEX(产销规划表!$G$5:$K$16,progress!D185+2,progress!C185)</f>
        <v>40000</v>
      </c>
      <c r="F185" s="44">
        <v>2</v>
      </c>
      <c r="G185" s="70" t="s">
        <v>2559</v>
      </c>
      <c r="H185" s="44">
        <f>INDEX(产销规划表!$B$5:$F$16,progress!D185+2,progress!C185)</f>
        <v>350</v>
      </c>
      <c r="I185" s="70" t="s">
        <v>3068</v>
      </c>
      <c r="J185" s="44">
        <v>3750</v>
      </c>
    </row>
    <row r="186" spans="1:10" x14ac:dyDescent="0.15">
      <c r="A186" s="31">
        <v>1181</v>
      </c>
      <c r="B186" s="31" t="s">
        <v>284</v>
      </c>
      <c r="C186" s="35">
        <f>INDEX(monster!$D$2:$D$700,MATCH(progress!A186,monster!$A$2:$A$700,0))</f>
        <v>1</v>
      </c>
      <c r="D186" s="35">
        <f>INDEX(monster!$E$2:$E$700,MATCH(progress!A186,monster!$A$2:$A$700,0))</f>
        <v>8</v>
      </c>
      <c r="E186" s="44">
        <f>INDEX(产销规划表!$G$5:$K$16,progress!D186+2,progress!C186)</f>
        <v>100000</v>
      </c>
      <c r="F186" s="44">
        <v>2</v>
      </c>
      <c r="G186" s="70" t="s">
        <v>2559</v>
      </c>
      <c r="H186" s="44">
        <f>INDEX(产销规划表!$B$5:$F$16,progress!D186+2,progress!C186)</f>
        <v>600</v>
      </c>
      <c r="I186" s="70" t="s">
        <v>3068</v>
      </c>
      <c r="J186" s="44">
        <v>5750</v>
      </c>
    </row>
    <row r="187" spans="1:10" x14ac:dyDescent="0.15">
      <c r="A187" s="31">
        <v>1182</v>
      </c>
      <c r="B187" s="31" t="s">
        <v>285</v>
      </c>
      <c r="C187" s="35">
        <f>INDEX(monster!$D$2:$D$700,MATCH(progress!A187,monster!$A$2:$A$700,0))</f>
        <v>1</v>
      </c>
      <c r="D187" s="35">
        <f>INDEX(monster!$E$2:$E$700,MATCH(progress!A187,monster!$A$2:$A$700,0))</f>
        <v>9</v>
      </c>
      <c r="E187" s="44">
        <f>INDEX(产销规划表!$G$5:$K$16,progress!D187+2,progress!C187)</f>
        <v>200000</v>
      </c>
      <c r="F187" s="44">
        <v>2</v>
      </c>
      <c r="G187" s="70" t="s">
        <v>2559</v>
      </c>
      <c r="H187" s="44">
        <f>INDEX(产销规划表!$B$5:$F$16,progress!D187+2,progress!C187)</f>
        <v>1000</v>
      </c>
      <c r="I187" s="70" t="s">
        <v>3068</v>
      </c>
      <c r="J187" s="44">
        <v>9000</v>
      </c>
    </row>
    <row r="188" spans="1:10" x14ac:dyDescent="0.15">
      <c r="A188" s="31">
        <v>1183</v>
      </c>
      <c r="B188" s="31" t="s">
        <v>286</v>
      </c>
      <c r="C188" s="35">
        <f>INDEX(monster!$D$2:$D$700,MATCH(progress!A188,monster!$A$2:$A$700,0))</f>
        <v>1</v>
      </c>
      <c r="D188" s="35">
        <f>INDEX(monster!$E$2:$E$700,MATCH(progress!A188,monster!$A$2:$A$700,0))</f>
        <v>10</v>
      </c>
      <c r="E188" s="44">
        <f>INDEX(产销规划表!$G$5:$K$16,progress!D188+2,progress!C188)</f>
        <v>-1</v>
      </c>
      <c r="F188" s="44">
        <v>2</v>
      </c>
      <c r="G188" s="70" t="s">
        <v>2559</v>
      </c>
      <c r="H188" s="44">
        <f>INDEX(产销规划表!$B$5:$F$16,progress!D188+2,progress!C188)</f>
        <v>-1</v>
      </c>
      <c r="I188" s="70" t="s">
        <v>3068</v>
      </c>
      <c r="J188" s="44">
        <v>-1</v>
      </c>
    </row>
    <row r="189" spans="1:10" x14ac:dyDescent="0.15">
      <c r="A189" s="31">
        <v>1184</v>
      </c>
      <c r="B189" s="31" t="s">
        <v>1811</v>
      </c>
      <c r="C189" s="35">
        <f>INDEX(monster!$D$2:$D$700,MATCH(progress!A189,monster!$A$2:$A$700,0))</f>
        <v>4</v>
      </c>
      <c r="D189" s="35">
        <f>INDEX(monster!$E$2:$E$700,MATCH(progress!A189,monster!$A$2:$A$700,0))</f>
        <v>0</v>
      </c>
      <c r="E189" s="44">
        <f>INDEX(产销规划表!$G$5:$K$16,progress!D189+2,progress!C189)</f>
        <v>4000</v>
      </c>
      <c r="F189" s="44">
        <v>2</v>
      </c>
      <c r="G189" s="70" t="s">
        <v>2560</v>
      </c>
      <c r="H189" s="44">
        <f>INDEX(产销规划表!$B$5:$F$16,progress!D189+2,progress!C189)</f>
        <v>5</v>
      </c>
      <c r="I189" s="70" t="s">
        <v>3068</v>
      </c>
      <c r="J189" s="44">
        <v>625</v>
      </c>
    </row>
    <row r="190" spans="1:10" x14ac:dyDescent="0.15">
      <c r="A190" s="31">
        <v>1185</v>
      </c>
      <c r="B190" s="31" t="s">
        <v>1812</v>
      </c>
      <c r="C190" s="35">
        <f>INDEX(monster!$D$2:$D$700,MATCH(progress!A190,monster!$A$2:$A$700,0))</f>
        <v>4</v>
      </c>
      <c r="D190" s="35">
        <f>INDEX(monster!$E$2:$E$700,MATCH(progress!A190,monster!$A$2:$A$700,0))</f>
        <v>1</v>
      </c>
      <c r="E190" s="44">
        <f>INDEX(产销规划表!$G$5:$K$16,progress!D190+2,progress!C190)</f>
        <v>10000</v>
      </c>
      <c r="F190" s="44">
        <v>2</v>
      </c>
      <c r="G190" s="70" t="s">
        <v>2560</v>
      </c>
      <c r="H190" s="44">
        <f>INDEX(产销规划表!$B$5:$F$16,progress!D190+2,progress!C190)</f>
        <v>10</v>
      </c>
      <c r="I190" s="70" t="s">
        <v>3068</v>
      </c>
      <c r="J190" s="44">
        <v>1000</v>
      </c>
    </row>
    <row r="191" spans="1:10" x14ac:dyDescent="0.15">
      <c r="A191" s="31">
        <v>1186</v>
      </c>
      <c r="B191" s="31" t="s">
        <v>287</v>
      </c>
      <c r="C191" s="35">
        <f>INDEX(monster!$D$2:$D$700,MATCH(progress!A191,monster!$A$2:$A$700,0))</f>
        <v>4</v>
      </c>
      <c r="D191" s="35">
        <f>INDEX(monster!$E$2:$E$700,MATCH(progress!A191,monster!$A$2:$A$700,0))</f>
        <v>2</v>
      </c>
      <c r="E191" s="44">
        <f>INDEX(产销规划表!$G$5:$K$16,progress!D191+2,progress!C191)</f>
        <v>20000</v>
      </c>
      <c r="F191" s="44">
        <v>2</v>
      </c>
      <c r="G191" s="70" t="s">
        <v>2560</v>
      </c>
      <c r="H191" s="44">
        <f>INDEX(产销规划表!$B$5:$F$16,progress!D191+2,progress!C191)</f>
        <v>20</v>
      </c>
      <c r="I191" s="70" t="s">
        <v>3068</v>
      </c>
      <c r="J191" s="44">
        <v>1500</v>
      </c>
    </row>
    <row r="192" spans="1:10" x14ac:dyDescent="0.15">
      <c r="A192" s="31">
        <v>1187</v>
      </c>
      <c r="B192" s="31" t="s">
        <v>288</v>
      </c>
      <c r="C192" s="35">
        <f>INDEX(monster!$D$2:$D$700,MATCH(progress!A192,monster!$A$2:$A$700,0))</f>
        <v>4</v>
      </c>
      <c r="D192" s="35">
        <f>INDEX(monster!$E$2:$E$700,MATCH(progress!A192,monster!$A$2:$A$700,0))</f>
        <v>3</v>
      </c>
      <c r="E192" s="44">
        <f>INDEX(产销规划表!$G$5:$K$16,progress!D192+2,progress!C192)</f>
        <v>40000</v>
      </c>
      <c r="F192" s="44">
        <v>2</v>
      </c>
      <c r="G192" s="70" t="s">
        <v>2560</v>
      </c>
      <c r="H192" s="44">
        <f>INDEX(产销规划表!$B$5:$F$16,progress!D192+2,progress!C192)</f>
        <v>50</v>
      </c>
      <c r="I192" s="70" t="s">
        <v>3068</v>
      </c>
      <c r="J192" s="44">
        <v>2500</v>
      </c>
    </row>
    <row r="193" spans="1:10" x14ac:dyDescent="0.15">
      <c r="A193" s="31">
        <v>1188</v>
      </c>
      <c r="B193" s="31" t="s">
        <v>289</v>
      </c>
      <c r="C193" s="35">
        <f>INDEX(monster!$D$2:$D$700,MATCH(progress!A193,monster!$A$2:$A$700,0))</f>
        <v>4</v>
      </c>
      <c r="D193" s="35">
        <f>INDEX(monster!$E$2:$E$700,MATCH(progress!A193,monster!$A$2:$A$700,0))</f>
        <v>4</v>
      </c>
      <c r="E193" s="44">
        <f>INDEX(产销规划表!$G$5:$K$16,progress!D193+2,progress!C193)</f>
        <v>100000</v>
      </c>
      <c r="F193" s="44">
        <v>2</v>
      </c>
      <c r="G193" s="70" t="s">
        <v>2560</v>
      </c>
      <c r="H193" s="44">
        <f>INDEX(产销规划表!$B$5:$F$16,progress!D193+2,progress!C193)</f>
        <v>80</v>
      </c>
      <c r="I193" s="70" t="s">
        <v>3068</v>
      </c>
      <c r="J193" s="44">
        <v>3750</v>
      </c>
    </row>
    <row r="194" spans="1:10" x14ac:dyDescent="0.15">
      <c r="A194" s="31">
        <v>1189</v>
      </c>
      <c r="B194" s="31" t="s">
        <v>290</v>
      </c>
      <c r="C194" s="35">
        <f>INDEX(monster!$D$2:$D$700,MATCH(progress!A194,monster!$A$2:$A$700,0))</f>
        <v>4</v>
      </c>
      <c r="D194" s="35">
        <f>INDEX(monster!$E$2:$E$700,MATCH(progress!A194,monster!$A$2:$A$700,0))</f>
        <v>5</v>
      </c>
      <c r="E194" s="44">
        <f>INDEX(产销规划表!$G$5:$K$16,progress!D194+2,progress!C194)</f>
        <v>200000</v>
      </c>
      <c r="F194" s="44">
        <v>2</v>
      </c>
      <c r="G194" s="70" t="s">
        <v>2560</v>
      </c>
      <c r="H194" s="44">
        <f>INDEX(产销规划表!$B$5:$F$16,progress!D194+2,progress!C194)</f>
        <v>120</v>
      </c>
      <c r="I194" s="70" t="s">
        <v>3068</v>
      </c>
      <c r="J194" s="44">
        <v>6250</v>
      </c>
    </row>
    <row r="195" spans="1:10" x14ac:dyDescent="0.15">
      <c r="A195" s="31">
        <v>1190</v>
      </c>
      <c r="B195" s="31" t="s">
        <v>291</v>
      </c>
      <c r="C195" s="35">
        <f>INDEX(monster!$D$2:$D$700,MATCH(progress!A195,monster!$A$2:$A$700,0))</f>
        <v>4</v>
      </c>
      <c r="D195" s="35">
        <f>INDEX(monster!$E$2:$E$700,MATCH(progress!A195,monster!$A$2:$A$700,0))</f>
        <v>6</v>
      </c>
      <c r="E195" s="44">
        <f>INDEX(产销规划表!$G$5:$K$16,progress!D195+2,progress!C195)</f>
        <v>500000</v>
      </c>
      <c r="F195" s="44">
        <v>2</v>
      </c>
      <c r="G195" s="70" t="s">
        <v>2560</v>
      </c>
      <c r="H195" s="44">
        <f>INDEX(产销规划表!$B$5:$F$16,progress!D195+2,progress!C195)</f>
        <v>200</v>
      </c>
      <c r="I195" s="70" t="s">
        <v>3068</v>
      </c>
      <c r="J195" s="44">
        <v>10000</v>
      </c>
    </row>
    <row r="196" spans="1:10" x14ac:dyDescent="0.15">
      <c r="A196" s="31">
        <v>1191</v>
      </c>
      <c r="B196" s="31" t="s">
        <v>292</v>
      </c>
      <c r="C196" s="35">
        <f>INDEX(monster!$D$2:$D$700,MATCH(progress!A196,monster!$A$2:$A$700,0))</f>
        <v>4</v>
      </c>
      <c r="D196" s="35">
        <f>INDEX(monster!$E$2:$E$700,MATCH(progress!A196,monster!$A$2:$A$700,0))</f>
        <v>7</v>
      </c>
      <c r="E196" s="44">
        <f>INDEX(产销规划表!$G$5:$K$16,progress!D196+2,progress!C196)</f>
        <v>1000000</v>
      </c>
      <c r="F196" s="44">
        <v>2</v>
      </c>
      <c r="G196" s="70" t="s">
        <v>2560</v>
      </c>
      <c r="H196" s="44">
        <f>INDEX(产销规划表!$B$5:$F$16,progress!D196+2,progress!C196)</f>
        <v>350</v>
      </c>
      <c r="I196" s="70" t="s">
        <v>3068</v>
      </c>
      <c r="J196" s="44">
        <v>15000</v>
      </c>
    </row>
    <row r="197" spans="1:10" x14ac:dyDescent="0.15">
      <c r="A197" s="31">
        <v>1192</v>
      </c>
      <c r="B197" s="31" t="s">
        <v>293</v>
      </c>
      <c r="C197" s="35">
        <f>INDEX(monster!$D$2:$D$700,MATCH(progress!A197,monster!$A$2:$A$700,0))</f>
        <v>4</v>
      </c>
      <c r="D197" s="35">
        <f>INDEX(monster!$E$2:$E$700,MATCH(progress!A197,monster!$A$2:$A$700,0))</f>
        <v>8</v>
      </c>
      <c r="E197" s="44">
        <f>INDEX(产销规划表!$G$5:$K$16,progress!D197+2,progress!C197)</f>
        <v>2000000</v>
      </c>
      <c r="F197" s="44">
        <v>2</v>
      </c>
      <c r="G197" s="70" t="s">
        <v>2560</v>
      </c>
      <c r="H197" s="44">
        <f>INDEX(产销规划表!$B$5:$F$16,progress!D197+2,progress!C197)</f>
        <v>600</v>
      </c>
      <c r="I197" s="70" t="s">
        <v>3068</v>
      </c>
      <c r="J197" s="44">
        <v>22500</v>
      </c>
    </row>
    <row r="198" spans="1:10" x14ac:dyDescent="0.15">
      <c r="A198" s="31">
        <v>1193</v>
      </c>
      <c r="B198" s="31" t="s">
        <v>294</v>
      </c>
      <c r="C198" s="35">
        <f>INDEX(monster!$D$2:$D$700,MATCH(progress!A198,monster!$A$2:$A$700,0))</f>
        <v>4</v>
      </c>
      <c r="D198" s="35">
        <f>INDEX(monster!$E$2:$E$700,MATCH(progress!A198,monster!$A$2:$A$700,0))</f>
        <v>9</v>
      </c>
      <c r="E198" s="44">
        <f>INDEX(产销规划表!$G$5:$K$16,progress!D198+2,progress!C198)</f>
        <v>5000000</v>
      </c>
      <c r="F198" s="44">
        <v>2</v>
      </c>
      <c r="G198" s="70" t="s">
        <v>2560</v>
      </c>
      <c r="H198" s="44">
        <f>INDEX(产销规划表!$B$5:$F$16,progress!D198+2,progress!C198)</f>
        <v>1000</v>
      </c>
      <c r="I198" s="70" t="s">
        <v>3068</v>
      </c>
      <c r="J198" s="44">
        <v>35000</v>
      </c>
    </row>
    <row r="199" spans="1:10" x14ac:dyDescent="0.15">
      <c r="A199" s="31">
        <v>1194</v>
      </c>
      <c r="B199" s="31" t="s">
        <v>295</v>
      </c>
      <c r="C199" s="35">
        <f>INDEX(monster!$D$2:$D$700,MATCH(progress!A199,monster!$A$2:$A$700,0))</f>
        <v>4</v>
      </c>
      <c r="D199" s="35">
        <f>INDEX(monster!$E$2:$E$700,MATCH(progress!A199,monster!$A$2:$A$700,0))</f>
        <v>10</v>
      </c>
      <c r="E199" s="44">
        <f>INDEX(产销规划表!$G$5:$K$16,progress!D199+2,progress!C199)</f>
        <v>-1</v>
      </c>
      <c r="F199" s="44">
        <v>2</v>
      </c>
      <c r="G199" s="70" t="s">
        <v>2560</v>
      </c>
      <c r="H199" s="44">
        <f>INDEX(产销规划表!$B$5:$F$16,progress!D199+2,progress!C199)</f>
        <v>-1</v>
      </c>
      <c r="I199" s="70" t="s">
        <v>3068</v>
      </c>
      <c r="J199" s="44">
        <v>-1</v>
      </c>
    </row>
    <row r="200" spans="1:10" x14ac:dyDescent="0.15">
      <c r="A200" s="31">
        <v>1195</v>
      </c>
      <c r="B200" s="31" t="s">
        <v>1813</v>
      </c>
      <c r="C200" s="35">
        <f>INDEX(monster!$D$2:$D$700,MATCH(progress!A200,monster!$A$2:$A$700,0))</f>
        <v>4</v>
      </c>
      <c r="D200" s="35">
        <f>INDEX(monster!$E$2:$E$700,MATCH(progress!A200,monster!$A$2:$A$700,0))</f>
        <v>0</v>
      </c>
      <c r="E200" s="44">
        <f>INDEX(产销规划表!$G$5:$K$16,progress!D200+2,progress!C200)</f>
        <v>4000</v>
      </c>
      <c r="F200" s="44">
        <v>2</v>
      </c>
      <c r="G200" s="70" t="s">
        <v>2561</v>
      </c>
      <c r="H200" s="44">
        <f>INDEX(产销规划表!$B$5:$F$16,progress!D200+2,progress!C200)</f>
        <v>5</v>
      </c>
      <c r="I200" s="70" t="s">
        <v>3068</v>
      </c>
      <c r="J200" s="44">
        <v>625</v>
      </c>
    </row>
    <row r="201" spans="1:10" x14ac:dyDescent="0.15">
      <c r="A201" s="31">
        <v>1196</v>
      </c>
      <c r="B201" s="31" t="s">
        <v>1814</v>
      </c>
      <c r="C201" s="35">
        <f>INDEX(monster!$D$2:$D$700,MATCH(progress!A201,monster!$A$2:$A$700,0))</f>
        <v>4</v>
      </c>
      <c r="D201" s="35">
        <f>INDEX(monster!$E$2:$E$700,MATCH(progress!A201,monster!$A$2:$A$700,0))</f>
        <v>1</v>
      </c>
      <c r="E201" s="44">
        <f>INDEX(产销规划表!$G$5:$K$16,progress!D201+2,progress!C201)</f>
        <v>10000</v>
      </c>
      <c r="F201" s="44">
        <v>2</v>
      </c>
      <c r="G201" s="70" t="s">
        <v>2561</v>
      </c>
      <c r="H201" s="44">
        <f>INDEX(产销规划表!$B$5:$F$16,progress!D201+2,progress!C201)</f>
        <v>10</v>
      </c>
      <c r="I201" s="70" t="s">
        <v>3068</v>
      </c>
      <c r="J201" s="44">
        <v>1000</v>
      </c>
    </row>
    <row r="202" spans="1:10" x14ac:dyDescent="0.15">
      <c r="A202" s="31">
        <v>1197</v>
      </c>
      <c r="B202" s="31" t="s">
        <v>296</v>
      </c>
      <c r="C202" s="35">
        <f>INDEX(monster!$D$2:$D$700,MATCH(progress!A202,monster!$A$2:$A$700,0))</f>
        <v>4</v>
      </c>
      <c r="D202" s="35">
        <f>INDEX(monster!$E$2:$E$700,MATCH(progress!A202,monster!$A$2:$A$700,0))</f>
        <v>2</v>
      </c>
      <c r="E202" s="44">
        <f>INDEX(产销规划表!$G$5:$K$16,progress!D202+2,progress!C202)</f>
        <v>20000</v>
      </c>
      <c r="F202" s="44">
        <v>2</v>
      </c>
      <c r="G202" s="70" t="s">
        <v>2561</v>
      </c>
      <c r="H202" s="44">
        <f>INDEX(产销规划表!$B$5:$F$16,progress!D202+2,progress!C202)</f>
        <v>20</v>
      </c>
      <c r="I202" s="70" t="s">
        <v>3068</v>
      </c>
      <c r="J202" s="44">
        <v>1500</v>
      </c>
    </row>
    <row r="203" spans="1:10" x14ac:dyDescent="0.15">
      <c r="A203" s="31">
        <v>1198</v>
      </c>
      <c r="B203" s="31" t="s">
        <v>297</v>
      </c>
      <c r="C203" s="35">
        <f>INDEX(monster!$D$2:$D$700,MATCH(progress!A203,monster!$A$2:$A$700,0))</f>
        <v>4</v>
      </c>
      <c r="D203" s="35">
        <f>INDEX(monster!$E$2:$E$700,MATCH(progress!A203,monster!$A$2:$A$700,0))</f>
        <v>3</v>
      </c>
      <c r="E203" s="44">
        <f>INDEX(产销规划表!$G$5:$K$16,progress!D203+2,progress!C203)</f>
        <v>40000</v>
      </c>
      <c r="F203" s="44">
        <v>2</v>
      </c>
      <c r="G203" s="70" t="s">
        <v>2561</v>
      </c>
      <c r="H203" s="44">
        <f>INDEX(产销规划表!$B$5:$F$16,progress!D203+2,progress!C203)</f>
        <v>50</v>
      </c>
      <c r="I203" s="70" t="s">
        <v>3068</v>
      </c>
      <c r="J203" s="44">
        <v>2500</v>
      </c>
    </row>
    <row r="204" spans="1:10" x14ac:dyDescent="0.15">
      <c r="A204" s="31">
        <v>1199</v>
      </c>
      <c r="B204" s="31" t="s">
        <v>298</v>
      </c>
      <c r="C204" s="35">
        <f>INDEX(monster!$D$2:$D$700,MATCH(progress!A204,monster!$A$2:$A$700,0))</f>
        <v>4</v>
      </c>
      <c r="D204" s="35">
        <f>INDEX(monster!$E$2:$E$700,MATCH(progress!A204,monster!$A$2:$A$700,0))</f>
        <v>4</v>
      </c>
      <c r="E204" s="44">
        <f>INDEX(产销规划表!$G$5:$K$16,progress!D204+2,progress!C204)</f>
        <v>100000</v>
      </c>
      <c r="F204" s="44">
        <v>2</v>
      </c>
      <c r="G204" s="70" t="s">
        <v>2561</v>
      </c>
      <c r="H204" s="44">
        <f>INDEX(产销规划表!$B$5:$F$16,progress!D204+2,progress!C204)</f>
        <v>80</v>
      </c>
      <c r="I204" s="70" t="s">
        <v>3068</v>
      </c>
      <c r="J204" s="44">
        <v>3750</v>
      </c>
    </row>
    <row r="205" spans="1:10" x14ac:dyDescent="0.15">
      <c r="A205" s="31">
        <v>1200</v>
      </c>
      <c r="B205" s="31" t="s">
        <v>299</v>
      </c>
      <c r="C205" s="35">
        <f>INDEX(monster!$D$2:$D$700,MATCH(progress!A205,monster!$A$2:$A$700,0))</f>
        <v>4</v>
      </c>
      <c r="D205" s="35">
        <f>INDEX(monster!$E$2:$E$700,MATCH(progress!A205,monster!$A$2:$A$700,0))</f>
        <v>5</v>
      </c>
      <c r="E205" s="44">
        <f>INDEX(产销规划表!$G$5:$K$16,progress!D205+2,progress!C205)</f>
        <v>200000</v>
      </c>
      <c r="F205" s="44">
        <v>2</v>
      </c>
      <c r="G205" s="70" t="s">
        <v>2561</v>
      </c>
      <c r="H205" s="44">
        <f>INDEX(产销规划表!$B$5:$F$16,progress!D205+2,progress!C205)</f>
        <v>120</v>
      </c>
      <c r="I205" s="70" t="s">
        <v>3068</v>
      </c>
      <c r="J205" s="44">
        <v>6250</v>
      </c>
    </row>
    <row r="206" spans="1:10" x14ac:dyDescent="0.15">
      <c r="A206" s="31">
        <v>1201</v>
      </c>
      <c r="B206" s="31" t="s">
        <v>300</v>
      </c>
      <c r="C206" s="35">
        <f>INDEX(monster!$D$2:$D$700,MATCH(progress!A206,monster!$A$2:$A$700,0))</f>
        <v>4</v>
      </c>
      <c r="D206" s="35">
        <f>INDEX(monster!$E$2:$E$700,MATCH(progress!A206,monster!$A$2:$A$700,0))</f>
        <v>6</v>
      </c>
      <c r="E206" s="44">
        <f>INDEX(产销规划表!$G$5:$K$16,progress!D206+2,progress!C206)</f>
        <v>500000</v>
      </c>
      <c r="F206" s="44">
        <v>2</v>
      </c>
      <c r="G206" s="70" t="s">
        <v>2561</v>
      </c>
      <c r="H206" s="44">
        <f>INDEX(产销规划表!$B$5:$F$16,progress!D206+2,progress!C206)</f>
        <v>200</v>
      </c>
      <c r="I206" s="70" t="s">
        <v>3068</v>
      </c>
      <c r="J206" s="44">
        <v>10000</v>
      </c>
    </row>
    <row r="207" spans="1:10" x14ac:dyDescent="0.15">
      <c r="A207" s="31">
        <v>1202</v>
      </c>
      <c r="B207" s="31" t="s">
        <v>301</v>
      </c>
      <c r="C207" s="35">
        <f>INDEX(monster!$D$2:$D$700,MATCH(progress!A207,monster!$A$2:$A$700,0))</f>
        <v>4</v>
      </c>
      <c r="D207" s="35">
        <f>INDEX(monster!$E$2:$E$700,MATCH(progress!A207,monster!$A$2:$A$700,0))</f>
        <v>7</v>
      </c>
      <c r="E207" s="44">
        <f>INDEX(产销规划表!$G$5:$K$16,progress!D207+2,progress!C207)</f>
        <v>1000000</v>
      </c>
      <c r="F207" s="44">
        <v>2</v>
      </c>
      <c r="G207" s="70" t="s">
        <v>2561</v>
      </c>
      <c r="H207" s="44">
        <f>INDEX(产销规划表!$B$5:$F$16,progress!D207+2,progress!C207)</f>
        <v>350</v>
      </c>
      <c r="I207" s="70" t="s">
        <v>3068</v>
      </c>
      <c r="J207" s="44">
        <v>15000</v>
      </c>
    </row>
    <row r="208" spans="1:10" x14ac:dyDescent="0.15">
      <c r="A208" s="31">
        <v>1203</v>
      </c>
      <c r="B208" s="31" t="s">
        <v>302</v>
      </c>
      <c r="C208" s="35">
        <f>INDEX(monster!$D$2:$D$700,MATCH(progress!A208,monster!$A$2:$A$700,0))</f>
        <v>4</v>
      </c>
      <c r="D208" s="35">
        <f>INDEX(monster!$E$2:$E$700,MATCH(progress!A208,monster!$A$2:$A$700,0))</f>
        <v>8</v>
      </c>
      <c r="E208" s="44">
        <f>INDEX(产销规划表!$G$5:$K$16,progress!D208+2,progress!C208)</f>
        <v>2000000</v>
      </c>
      <c r="F208" s="44">
        <v>2</v>
      </c>
      <c r="G208" s="70" t="s">
        <v>2561</v>
      </c>
      <c r="H208" s="44">
        <f>INDEX(产销规划表!$B$5:$F$16,progress!D208+2,progress!C208)</f>
        <v>600</v>
      </c>
      <c r="I208" s="70" t="s">
        <v>3068</v>
      </c>
      <c r="J208" s="44">
        <v>22500</v>
      </c>
    </row>
    <row r="209" spans="1:10" x14ac:dyDescent="0.15">
      <c r="A209" s="31">
        <v>1204</v>
      </c>
      <c r="B209" s="31" t="s">
        <v>303</v>
      </c>
      <c r="C209" s="35">
        <f>INDEX(monster!$D$2:$D$700,MATCH(progress!A209,monster!$A$2:$A$700,0))</f>
        <v>4</v>
      </c>
      <c r="D209" s="35">
        <f>INDEX(monster!$E$2:$E$700,MATCH(progress!A209,monster!$A$2:$A$700,0))</f>
        <v>9</v>
      </c>
      <c r="E209" s="44">
        <f>INDEX(产销规划表!$G$5:$K$16,progress!D209+2,progress!C209)</f>
        <v>5000000</v>
      </c>
      <c r="F209" s="44">
        <v>2</v>
      </c>
      <c r="G209" s="70" t="s">
        <v>2561</v>
      </c>
      <c r="H209" s="44">
        <f>INDEX(产销规划表!$B$5:$F$16,progress!D209+2,progress!C209)</f>
        <v>1000</v>
      </c>
      <c r="I209" s="70" t="s">
        <v>3068</v>
      </c>
      <c r="J209" s="44">
        <v>35000</v>
      </c>
    </row>
    <row r="210" spans="1:10" x14ac:dyDescent="0.15">
      <c r="A210" s="31">
        <v>1205</v>
      </c>
      <c r="B210" s="31" t="s">
        <v>304</v>
      </c>
      <c r="C210" s="35">
        <f>INDEX(monster!$D$2:$D$700,MATCH(progress!A210,monster!$A$2:$A$700,0))</f>
        <v>4</v>
      </c>
      <c r="D210" s="35">
        <f>INDEX(monster!$E$2:$E$700,MATCH(progress!A210,monster!$A$2:$A$700,0))</f>
        <v>10</v>
      </c>
      <c r="E210" s="44">
        <f>INDEX(产销规划表!$G$5:$K$16,progress!D210+2,progress!C210)</f>
        <v>-1</v>
      </c>
      <c r="F210" s="44">
        <v>2</v>
      </c>
      <c r="G210" s="70" t="s">
        <v>2561</v>
      </c>
      <c r="H210" s="44">
        <f>INDEX(产销规划表!$B$5:$F$16,progress!D210+2,progress!C210)</f>
        <v>-1</v>
      </c>
      <c r="I210" s="70" t="s">
        <v>3068</v>
      </c>
      <c r="J210" s="44">
        <v>-1</v>
      </c>
    </row>
    <row r="211" spans="1:10" x14ac:dyDescent="0.15">
      <c r="A211" s="31">
        <v>1206</v>
      </c>
      <c r="B211" s="31" t="s">
        <v>1815</v>
      </c>
      <c r="C211" s="35">
        <f>INDEX(monster!$D$2:$D$700,MATCH(progress!A211,monster!$A$2:$A$700,0))</f>
        <v>4</v>
      </c>
      <c r="D211" s="35">
        <f>INDEX(monster!$E$2:$E$700,MATCH(progress!A211,monster!$A$2:$A$700,0))</f>
        <v>0</v>
      </c>
      <c r="E211" s="44">
        <f>INDEX(产销规划表!$G$5:$K$16,progress!D211+2,progress!C211)</f>
        <v>4000</v>
      </c>
      <c r="F211" s="44">
        <v>2</v>
      </c>
      <c r="G211" s="70" t="s">
        <v>2562</v>
      </c>
      <c r="H211" s="44">
        <f>INDEX(产销规划表!$B$5:$F$16,progress!D211+2,progress!C211)</f>
        <v>5</v>
      </c>
      <c r="I211" s="70" t="s">
        <v>3068</v>
      </c>
      <c r="J211" s="44">
        <v>625</v>
      </c>
    </row>
    <row r="212" spans="1:10" x14ac:dyDescent="0.15">
      <c r="A212" s="31">
        <v>1207</v>
      </c>
      <c r="B212" s="31" t="s">
        <v>1816</v>
      </c>
      <c r="C212" s="35">
        <f>INDEX(monster!$D$2:$D$700,MATCH(progress!A212,monster!$A$2:$A$700,0))</f>
        <v>4</v>
      </c>
      <c r="D212" s="35">
        <f>INDEX(monster!$E$2:$E$700,MATCH(progress!A212,monster!$A$2:$A$700,0))</f>
        <v>1</v>
      </c>
      <c r="E212" s="44">
        <f>INDEX(产销规划表!$G$5:$K$16,progress!D212+2,progress!C212)</f>
        <v>10000</v>
      </c>
      <c r="F212" s="44">
        <v>2</v>
      </c>
      <c r="G212" s="70" t="s">
        <v>2562</v>
      </c>
      <c r="H212" s="44">
        <f>INDEX(产销规划表!$B$5:$F$16,progress!D212+2,progress!C212)</f>
        <v>10</v>
      </c>
      <c r="I212" s="70" t="s">
        <v>3068</v>
      </c>
      <c r="J212" s="44">
        <v>1000</v>
      </c>
    </row>
    <row r="213" spans="1:10" x14ac:dyDescent="0.15">
      <c r="A213" s="31">
        <v>1208</v>
      </c>
      <c r="B213" s="31" t="s">
        <v>305</v>
      </c>
      <c r="C213" s="35">
        <f>INDEX(monster!$D$2:$D$700,MATCH(progress!A213,monster!$A$2:$A$700,0))</f>
        <v>4</v>
      </c>
      <c r="D213" s="35">
        <f>INDEX(monster!$E$2:$E$700,MATCH(progress!A213,monster!$A$2:$A$700,0))</f>
        <v>2</v>
      </c>
      <c r="E213" s="44">
        <f>INDEX(产销规划表!$G$5:$K$16,progress!D213+2,progress!C213)</f>
        <v>20000</v>
      </c>
      <c r="F213" s="44">
        <v>2</v>
      </c>
      <c r="G213" s="70" t="s">
        <v>2562</v>
      </c>
      <c r="H213" s="44">
        <f>INDEX(产销规划表!$B$5:$F$16,progress!D213+2,progress!C213)</f>
        <v>20</v>
      </c>
      <c r="I213" s="70" t="s">
        <v>3068</v>
      </c>
      <c r="J213" s="44">
        <v>1500</v>
      </c>
    </row>
    <row r="214" spans="1:10" x14ac:dyDescent="0.15">
      <c r="A214" s="31">
        <v>1209</v>
      </c>
      <c r="B214" s="31" t="s">
        <v>306</v>
      </c>
      <c r="C214" s="35">
        <f>INDEX(monster!$D$2:$D$700,MATCH(progress!A214,monster!$A$2:$A$700,0))</f>
        <v>4</v>
      </c>
      <c r="D214" s="35">
        <f>INDEX(monster!$E$2:$E$700,MATCH(progress!A214,monster!$A$2:$A$700,0))</f>
        <v>3</v>
      </c>
      <c r="E214" s="44">
        <f>INDEX(产销规划表!$G$5:$K$16,progress!D214+2,progress!C214)</f>
        <v>40000</v>
      </c>
      <c r="F214" s="44">
        <v>2</v>
      </c>
      <c r="G214" s="70" t="s">
        <v>2562</v>
      </c>
      <c r="H214" s="44">
        <f>INDEX(产销规划表!$B$5:$F$16,progress!D214+2,progress!C214)</f>
        <v>50</v>
      </c>
      <c r="I214" s="70" t="s">
        <v>3068</v>
      </c>
      <c r="J214" s="44">
        <v>2500</v>
      </c>
    </row>
    <row r="215" spans="1:10" x14ac:dyDescent="0.15">
      <c r="A215" s="31">
        <v>1210</v>
      </c>
      <c r="B215" s="31" t="s">
        <v>307</v>
      </c>
      <c r="C215" s="35">
        <f>INDEX(monster!$D$2:$D$700,MATCH(progress!A215,monster!$A$2:$A$700,0))</f>
        <v>4</v>
      </c>
      <c r="D215" s="35">
        <f>INDEX(monster!$E$2:$E$700,MATCH(progress!A215,monster!$A$2:$A$700,0))</f>
        <v>4</v>
      </c>
      <c r="E215" s="44">
        <f>INDEX(产销规划表!$G$5:$K$16,progress!D215+2,progress!C215)</f>
        <v>100000</v>
      </c>
      <c r="F215" s="44">
        <v>2</v>
      </c>
      <c r="G215" s="70" t="s">
        <v>2562</v>
      </c>
      <c r="H215" s="44">
        <f>INDEX(产销规划表!$B$5:$F$16,progress!D215+2,progress!C215)</f>
        <v>80</v>
      </c>
      <c r="I215" s="70" t="s">
        <v>3068</v>
      </c>
      <c r="J215" s="44">
        <v>3750</v>
      </c>
    </row>
    <row r="216" spans="1:10" x14ac:dyDescent="0.15">
      <c r="A216" s="31">
        <v>1211</v>
      </c>
      <c r="B216" s="31" t="s">
        <v>308</v>
      </c>
      <c r="C216" s="35">
        <f>INDEX(monster!$D$2:$D$700,MATCH(progress!A216,monster!$A$2:$A$700,0))</f>
        <v>4</v>
      </c>
      <c r="D216" s="35">
        <f>INDEX(monster!$E$2:$E$700,MATCH(progress!A216,monster!$A$2:$A$700,0))</f>
        <v>5</v>
      </c>
      <c r="E216" s="44">
        <f>INDEX(产销规划表!$G$5:$K$16,progress!D216+2,progress!C216)</f>
        <v>200000</v>
      </c>
      <c r="F216" s="44">
        <v>2</v>
      </c>
      <c r="G216" s="70" t="s">
        <v>2562</v>
      </c>
      <c r="H216" s="44">
        <f>INDEX(产销规划表!$B$5:$F$16,progress!D216+2,progress!C216)</f>
        <v>120</v>
      </c>
      <c r="I216" s="70" t="s">
        <v>3068</v>
      </c>
      <c r="J216" s="44">
        <v>6250</v>
      </c>
    </row>
    <row r="217" spans="1:10" x14ac:dyDescent="0.15">
      <c r="A217" s="31">
        <v>1212</v>
      </c>
      <c r="B217" s="31" t="s">
        <v>309</v>
      </c>
      <c r="C217" s="35">
        <f>INDEX(monster!$D$2:$D$700,MATCH(progress!A217,monster!$A$2:$A$700,0))</f>
        <v>4</v>
      </c>
      <c r="D217" s="35">
        <f>INDEX(monster!$E$2:$E$700,MATCH(progress!A217,monster!$A$2:$A$700,0))</f>
        <v>6</v>
      </c>
      <c r="E217" s="44">
        <f>INDEX(产销规划表!$G$5:$K$16,progress!D217+2,progress!C217)</f>
        <v>500000</v>
      </c>
      <c r="F217" s="44">
        <v>2</v>
      </c>
      <c r="G217" s="70" t="s">
        <v>2562</v>
      </c>
      <c r="H217" s="44">
        <f>INDEX(产销规划表!$B$5:$F$16,progress!D217+2,progress!C217)</f>
        <v>200</v>
      </c>
      <c r="I217" s="70" t="s">
        <v>3068</v>
      </c>
      <c r="J217" s="44">
        <v>10000</v>
      </c>
    </row>
    <row r="218" spans="1:10" x14ac:dyDescent="0.15">
      <c r="A218" s="31">
        <v>1213</v>
      </c>
      <c r="B218" s="31" t="s">
        <v>310</v>
      </c>
      <c r="C218" s="35">
        <f>INDEX(monster!$D$2:$D$700,MATCH(progress!A218,monster!$A$2:$A$700,0))</f>
        <v>4</v>
      </c>
      <c r="D218" s="35">
        <f>INDEX(monster!$E$2:$E$700,MATCH(progress!A218,monster!$A$2:$A$700,0))</f>
        <v>7</v>
      </c>
      <c r="E218" s="44">
        <f>INDEX(产销规划表!$G$5:$K$16,progress!D218+2,progress!C218)</f>
        <v>1000000</v>
      </c>
      <c r="F218" s="44">
        <v>2</v>
      </c>
      <c r="G218" s="70" t="s">
        <v>2562</v>
      </c>
      <c r="H218" s="44">
        <f>INDEX(产销规划表!$B$5:$F$16,progress!D218+2,progress!C218)</f>
        <v>350</v>
      </c>
      <c r="I218" s="70" t="s">
        <v>3068</v>
      </c>
      <c r="J218" s="44">
        <v>15000</v>
      </c>
    </row>
    <row r="219" spans="1:10" x14ac:dyDescent="0.15">
      <c r="A219" s="31">
        <v>1214</v>
      </c>
      <c r="B219" s="31" t="s">
        <v>311</v>
      </c>
      <c r="C219" s="35">
        <f>INDEX(monster!$D$2:$D$700,MATCH(progress!A219,monster!$A$2:$A$700,0))</f>
        <v>4</v>
      </c>
      <c r="D219" s="35">
        <f>INDEX(monster!$E$2:$E$700,MATCH(progress!A219,monster!$A$2:$A$700,0))</f>
        <v>8</v>
      </c>
      <c r="E219" s="44">
        <f>INDEX(产销规划表!$G$5:$K$16,progress!D219+2,progress!C219)</f>
        <v>2000000</v>
      </c>
      <c r="F219" s="44">
        <v>2</v>
      </c>
      <c r="G219" s="70" t="s">
        <v>2562</v>
      </c>
      <c r="H219" s="44">
        <f>INDEX(产销规划表!$B$5:$F$16,progress!D219+2,progress!C219)</f>
        <v>600</v>
      </c>
      <c r="I219" s="70" t="s">
        <v>3068</v>
      </c>
      <c r="J219" s="44">
        <v>22500</v>
      </c>
    </row>
    <row r="220" spans="1:10" x14ac:dyDescent="0.15">
      <c r="A220" s="31">
        <v>1215</v>
      </c>
      <c r="B220" s="31" t="s">
        <v>312</v>
      </c>
      <c r="C220" s="35">
        <f>INDEX(monster!$D$2:$D$700,MATCH(progress!A220,monster!$A$2:$A$700,0))</f>
        <v>4</v>
      </c>
      <c r="D220" s="35">
        <f>INDEX(monster!$E$2:$E$700,MATCH(progress!A220,monster!$A$2:$A$700,0))</f>
        <v>9</v>
      </c>
      <c r="E220" s="44">
        <f>INDEX(产销规划表!$G$5:$K$16,progress!D220+2,progress!C220)</f>
        <v>5000000</v>
      </c>
      <c r="F220" s="44">
        <v>2</v>
      </c>
      <c r="G220" s="70" t="s">
        <v>2562</v>
      </c>
      <c r="H220" s="44">
        <f>INDEX(产销规划表!$B$5:$F$16,progress!D220+2,progress!C220)</f>
        <v>1000</v>
      </c>
      <c r="I220" s="70" t="s">
        <v>3068</v>
      </c>
      <c r="J220" s="44">
        <v>35000</v>
      </c>
    </row>
    <row r="221" spans="1:10" x14ac:dyDescent="0.15">
      <c r="A221" s="31">
        <v>1216</v>
      </c>
      <c r="B221" s="31" t="s">
        <v>313</v>
      </c>
      <c r="C221" s="35">
        <f>INDEX(monster!$D$2:$D$700,MATCH(progress!A221,monster!$A$2:$A$700,0))</f>
        <v>4</v>
      </c>
      <c r="D221" s="35">
        <f>INDEX(monster!$E$2:$E$700,MATCH(progress!A221,monster!$A$2:$A$700,0))</f>
        <v>10</v>
      </c>
      <c r="E221" s="44">
        <f>INDEX(产销规划表!$G$5:$K$16,progress!D221+2,progress!C221)</f>
        <v>-1</v>
      </c>
      <c r="F221" s="44">
        <v>2</v>
      </c>
      <c r="G221" s="70" t="s">
        <v>2562</v>
      </c>
      <c r="H221" s="44">
        <f>INDEX(产销规划表!$B$5:$F$16,progress!D221+2,progress!C221)</f>
        <v>-1</v>
      </c>
      <c r="I221" s="70" t="s">
        <v>3068</v>
      </c>
      <c r="J221" s="44">
        <v>-1</v>
      </c>
    </row>
    <row r="222" spans="1:10" x14ac:dyDescent="0.15">
      <c r="A222" s="31">
        <v>1217</v>
      </c>
      <c r="B222" s="31" t="s">
        <v>1817</v>
      </c>
      <c r="C222" s="35">
        <f>INDEX(monster!$D$2:$D$700,MATCH(progress!A222,monster!$A$2:$A$700,0))</f>
        <v>4</v>
      </c>
      <c r="D222" s="35">
        <f>INDEX(monster!$E$2:$E$700,MATCH(progress!A222,monster!$A$2:$A$700,0))</f>
        <v>0</v>
      </c>
      <c r="E222" s="44">
        <f>INDEX(产销规划表!$G$5:$K$16,progress!D222+2,progress!C222)</f>
        <v>4000</v>
      </c>
      <c r="F222" s="44">
        <v>2</v>
      </c>
      <c r="G222" s="70" t="s">
        <v>2563</v>
      </c>
      <c r="H222" s="44">
        <f>INDEX(产销规划表!$B$5:$F$16,progress!D222+2,progress!C222)</f>
        <v>5</v>
      </c>
      <c r="I222" s="70" t="s">
        <v>3068</v>
      </c>
      <c r="J222" s="44">
        <v>625</v>
      </c>
    </row>
    <row r="223" spans="1:10" x14ac:dyDescent="0.15">
      <c r="A223" s="31">
        <v>1218</v>
      </c>
      <c r="B223" s="31" t="s">
        <v>1818</v>
      </c>
      <c r="C223" s="35">
        <f>INDEX(monster!$D$2:$D$700,MATCH(progress!A223,monster!$A$2:$A$700,0))</f>
        <v>4</v>
      </c>
      <c r="D223" s="35">
        <f>INDEX(monster!$E$2:$E$700,MATCH(progress!A223,monster!$A$2:$A$700,0))</f>
        <v>1</v>
      </c>
      <c r="E223" s="44">
        <f>INDEX(产销规划表!$G$5:$K$16,progress!D223+2,progress!C223)</f>
        <v>10000</v>
      </c>
      <c r="F223" s="44">
        <v>2</v>
      </c>
      <c r="G223" s="70" t="s">
        <v>2563</v>
      </c>
      <c r="H223" s="44">
        <f>INDEX(产销规划表!$B$5:$F$16,progress!D223+2,progress!C223)</f>
        <v>10</v>
      </c>
      <c r="I223" s="70" t="s">
        <v>3068</v>
      </c>
      <c r="J223" s="44">
        <v>1000</v>
      </c>
    </row>
    <row r="224" spans="1:10" x14ac:dyDescent="0.15">
      <c r="A224" s="31">
        <v>1219</v>
      </c>
      <c r="B224" s="31" t="s">
        <v>314</v>
      </c>
      <c r="C224" s="35">
        <f>INDEX(monster!$D$2:$D$700,MATCH(progress!A224,monster!$A$2:$A$700,0))</f>
        <v>4</v>
      </c>
      <c r="D224" s="35">
        <f>INDEX(monster!$E$2:$E$700,MATCH(progress!A224,monster!$A$2:$A$700,0))</f>
        <v>2</v>
      </c>
      <c r="E224" s="44">
        <f>INDEX(产销规划表!$G$5:$K$16,progress!D224+2,progress!C224)</f>
        <v>20000</v>
      </c>
      <c r="F224" s="44">
        <v>2</v>
      </c>
      <c r="G224" s="70" t="s">
        <v>2563</v>
      </c>
      <c r="H224" s="44">
        <f>INDEX(产销规划表!$B$5:$F$16,progress!D224+2,progress!C224)</f>
        <v>20</v>
      </c>
      <c r="I224" s="70" t="s">
        <v>3068</v>
      </c>
      <c r="J224" s="44">
        <v>1500</v>
      </c>
    </row>
    <row r="225" spans="1:10" x14ac:dyDescent="0.15">
      <c r="A225" s="31">
        <v>1220</v>
      </c>
      <c r="B225" s="31" t="s">
        <v>315</v>
      </c>
      <c r="C225" s="35">
        <f>INDEX(monster!$D$2:$D$700,MATCH(progress!A225,monster!$A$2:$A$700,0))</f>
        <v>4</v>
      </c>
      <c r="D225" s="35">
        <f>INDEX(monster!$E$2:$E$700,MATCH(progress!A225,monster!$A$2:$A$700,0))</f>
        <v>3</v>
      </c>
      <c r="E225" s="44">
        <f>INDEX(产销规划表!$G$5:$K$16,progress!D225+2,progress!C225)</f>
        <v>40000</v>
      </c>
      <c r="F225" s="44">
        <v>2</v>
      </c>
      <c r="G225" s="70" t="s">
        <v>2563</v>
      </c>
      <c r="H225" s="44">
        <f>INDEX(产销规划表!$B$5:$F$16,progress!D225+2,progress!C225)</f>
        <v>50</v>
      </c>
      <c r="I225" s="70" t="s">
        <v>3068</v>
      </c>
      <c r="J225" s="44">
        <v>2500</v>
      </c>
    </row>
    <row r="226" spans="1:10" x14ac:dyDescent="0.15">
      <c r="A226" s="31">
        <v>1221</v>
      </c>
      <c r="B226" s="31" t="s">
        <v>316</v>
      </c>
      <c r="C226" s="35">
        <f>INDEX(monster!$D$2:$D$700,MATCH(progress!A226,monster!$A$2:$A$700,0))</f>
        <v>4</v>
      </c>
      <c r="D226" s="35">
        <f>INDEX(monster!$E$2:$E$700,MATCH(progress!A226,monster!$A$2:$A$700,0))</f>
        <v>4</v>
      </c>
      <c r="E226" s="44">
        <f>INDEX(产销规划表!$G$5:$K$16,progress!D226+2,progress!C226)</f>
        <v>100000</v>
      </c>
      <c r="F226" s="44">
        <v>2</v>
      </c>
      <c r="G226" s="70" t="s">
        <v>2563</v>
      </c>
      <c r="H226" s="44">
        <f>INDEX(产销规划表!$B$5:$F$16,progress!D226+2,progress!C226)</f>
        <v>80</v>
      </c>
      <c r="I226" s="70" t="s">
        <v>3068</v>
      </c>
      <c r="J226" s="44">
        <v>3750</v>
      </c>
    </row>
    <row r="227" spans="1:10" x14ac:dyDescent="0.15">
      <c r="A227" s="31">
        <v>1222</v>
      </c>
      <c r="B227" s="31" t="s">
        <v>317</v>
      </c>
      <c r="C227" s="35">
        <f>INDEX(monster!$D$2:$D$700,MATCH(progress!A227,monster!$A$2:$A$700,0))</f>
        <v>4</v>
      </c>
      <c r="D227" s="35">
        <f>INDEX(monster!$E$2:$E$700,MATCH(progress!A227,monster!$A$2:$A$700,0))</f>
        <v>5</v>
      </c>
      <c r="E227" s="44">
        <f>INDEX(产销规划表!$G$5:$K$16,progress!D227+2,progress!C227)</f>
        <v>200000</v>
      </c>
      <c r="F227" s="44">
        <v>2</v>
      </c>
      <c r="G227" s="70" t="s">
        <v>2563</v>
      </c>
      <c r="H227" s="44">
        <f>INDEX(产销规划表!$B$5:$F$16,progress!D227+2,progress!C227)</f>
        <v>120</v>
      </c>
      <c r="I227" s="70" t="s">
        <v>3068</v>
      </c>
      <c r="J227" s="44">
        <v>6250</v>
      </c>
    </row>
    <row r="228" spans="1:10" x14ac:dyDescent="0.15">
      <c r="A228" s="31">
        <v>1223</v>
      </c>
      <c r="B228" s="31" t="s">
        <v>318</v>
      </c>
      <c r="C228" s="35">
        <f>INDEX(monster!$D$2:$D$700,MATCH(progress!A228,monster!$A$2:$A$700,0))</f>
        <v>4</v>
      </c>
      <c r="D228" s="35">
        <f>INDEX(monster!$E$2:$E$700,MATCH(progress!A228,monster!$A$2:$A$700,0))</f>
        <v>6</v>
      </c>
      <c r="E228" s="44">
        <f>INDEX(产销规划表!$G$5:$K$16,progress!D228+2,progress!C228)</f>
        <v>500000</v>
      </c>
      <c r="F228" s="44">
        <v>2</v>
      </c>
      <c r="G228" s="70" t="s">
        <v>2563</v>
      </c>
      <c r="H228" s="44">
        <f>INDEX(产销规划表!$B$5:$F$16,progress!D228+2,progress!C228)</f>
        <v>200</v>
      </c>
      <c r="I228" s="70" t="s">
        <v>3068</v>
      </c>
      <c r="J228" s="44">
        <v>10000</v>
      </c>
    </row>
    <row r="229" spans="1:10" x14ac:dyDescent="0.15">
      <c r="A229" s="31">
        <v>1224</v>
      </c>
      <c r="B229" s="31" t="s">
        <v>319</v>
      </c>
      <c r="C229" s="35">
        <f>INDEX(monster!$D$2:$D$700,MATCH(progress!A229,monster!$A$2:$A$700,0))</f>
        <v>4</v>
      </c>
      <c r="D229" s="35">
        <f>INDEX(monster!$E$2:$E$700,MATCH(progress!A229,monster!$A$2:$A$700,0))</f>
        <v>7</v>
      </c>
      <c r="E229" s="44">
        <f>INDEX(产销规划表!$G$5:$K$16,progress!D229+2,progress!C229)</f>
        <v>1000000</v>
      </c>
      <c r="F229" s="44">
        <v>2</v>
      </c>
      <c r="G229" s="70" t="s">
        <v>2563</v>
      </c>
      <c r="H229" s="44">
        <f>INDEX(产销规划表!$B$5:$F$16,progress!D229+2,progress!C229)</f>
        <v>350</v>
      </c>
      <c r="I229" s="70" t="s">
        <v>3068</v>
      </c>
      <c r="J229" s="44">
        <v>15000</v>
      </c>
    </row>
    <row r="230" spans="1:10" x14ac:dyDescent="0.15">
      <c r="A230" s="31">
        <v>1225</v>
      </c>
      <c r="B230" s="31" t="s">
        <v>320</v>
      </c>
      <c r="C230" s="35">
        <f>INDEX(monster!$D$2:$D$700,MATCH(progress!A230,monster!$A$2:$A$700,0))</f>
        <v>4</v>
      </c>
      <c r="D230" s="35">
        <f>INDEX(monster!$E$2:$E$700,MATCH(progress!A230,monster!$A$2:$A$700,0))</f>
        <v>8</v>
      </c>
      <c r="E230" s="44">
        <f>INDEX(产销规划表!$G$5:$K$16,progress!D230+2,progress!C230)</f>
        <v>2000000</v>
      </c>
      <c r="F230" s="44">
        <v>2</v>
      </c>
      <c r="G230" s="70" t="s">
        <v>2563</v>
      </c>
      <c r="H230" s="44">
        <f>INDEX(产销规划表!$B$5:$F$16,progress!D230+2,progress!C230)</f>
        <v>600</v>
      </c>
      <c r="I230" s="70" t="s">
        <v>3068</v>
      </c>
      <c r="J230" s="44">
        <v>22500</v>
      </c>
    </row>
    <row r="231" spans="1:10" x14ac:dyDescent="0.15">
      <c r="A231" s="31">
        <v>1226</v>
      </c>
      <c r="B231" s="31" t="s">
        <v>321</v>
      </c>
      <c r="C231" s="35">
        <f>INDEX(monster!$D$2:$D$700,MATCH(progress!A231,monster!$A$2:$A$700,0))</f>
        <v>4</v>
      </c>
      <c r="D231" s="35">
        <f>INDEX(monster!$E$2:$E$700,MATCH(progress!A231,monster!$A$2:$A$700,0))</f>
        <v>9</v>
      </c>
      <c r="E231" s="44">
        <f>INDEX(产销规划表!$G$5:$K$16,progress!D231+2,progress!C231)</f>
        <v>5000000</v>
      </c>
      <c r="F231" s="44">
        <v>2</v>
      </c>
      <c r="G231" s="70" t="s">
        <v>2563</v>
      </c>
      <c r="H231" s="44">
        <f>INDEX(产销规划表!$B$5:$F$16,progress!D231+2,progress!C231)</f>
        <v>1000</v>
      </c>
      <c r="I231" s="70" t="s">
        <v>3068</v>
      </c>
      <c r="J231" s="44">
        <v>35000</v>
      </c>
    </row>
    <row r="232" spans="1:10" x14ac:dyDescent="0.15">
      <c r="A232" s="31">
        <v>1227</v>
      </c>
      <c r="B232" s="31" t="s">
        <v>322</v>
      </c>
      <c r="C232" s="35">
        <f>INDEX(monster!$D$2:$D$700,MATCH(progress!A232,monster!$A$2:$A$700,0))</f>
        <v>4</v>
      </c>
      <c r="D232" s="35">
        <f>INDEX(monster!$E$2:$E$700,MATCH(progress!A232,monster!$A$2:$A$700,0))</f>
        <v>10</v>
      </c>
      <c r="E232" s="44">
        <f>INDEX(产销规划表!$G$5:$K$16,progress!D232+2,progress!C232)</f>
        <v>-1</v>
      </c>
      <c r="F232" s="44">
        <v>2</v>
      </c>
      <c r="G232" s="70" t="s">
        <v>2563</v>
      </c>
      <c r="H232" s="44">
        <f>INDEX(产销规划表!$B$5:$F$16,progress!D232+2,progress!C232)</f>
        <v>-1</v>
      </c>
      <c r="I232" s="70" t="s">
        <v>3068</v>
      </c>
      <c r="J232" s="44">
        <v>-1</v>
      </c>
    </row>
    <row r="233" spans="1:10" x14ac:dyDescent="0.15">
      <c r="A233" s="31">
        <v>1228</v>
      </c>
      <c r="B233" s="31" t="s">
        <v>1819</v>
      </c>
      <c r="C233" s="35">
        <f>INDEX(monster!$D$2:$D$700,MATCH(progress!A233,monster!$A$2:$A$700,0))</f>
        <v>5</v>
      </c>
      <c r="D233" s="35">
        <f>INDEX(monster!$E$2:$E$700,MATCH(progress!A233,monster!$A$2:$A$700,0))</f>
        <v>0</v>
      </c>
      <c r="E233" s="44">
        <f>INDEX(产销规划表!$G$5:$K$16,progress!D233+2,progress!C233-1)</f>
        <v>4000</v>
      </c>
      <c r="F233" s="44">
        <v>2</v>
      </c>
      <c r="G233" s="70" t="s">
        <v>2564</v>
      </c>
      <c r="H233" s="44">
        <f>INDEX(产销规划表!$B$5:$F$16,progress!D233+2,progress!C233)</f>
        <v>5</v>
      </c>
      <c r="I233" s="70" t="s">
        <v>3068</v>
      </c>
      <c r="J233" s="44">
        <v>2500</v>
      </c>
    </row>
    <row r="234" spans="1:10" x14ac:dyDescent="0.15">
      <c r="A234" s="31">
        <v>1229</v>
      </c>
      <c r="B234" s="31" t="s">
        <v>1820</v>
      </c>
      <c r="C234" s="35">
        <f>INDEX(monster!$D$2:$D$700,MATCH(progress!A234,monster!$A$2:$A$700,0))</f>
        <v>5</v>
      </c>
      <c r="D234" s="35">
        <f>INDEX(monster!$E$2:$E$700,MATCH(progress!A234,monster!$A$2:$A$700,0))</f>
        <v>1</v>
      </c>
      <c r="E234" s="70">
        <f>INDEX(产销规划表!$G$5:$K$16,progress!D234+2,progress!C234-1)</f>
        <v>10000</v>
      </c>
      <c r="F234" s="44">
        <v>2</v>
      </c>
      <c r="G234" s="70" t="s">
        <v>2564</v>
      </c>
      <c r="H234" s="44">
        <f>INDEX(产销规划表!$B$5:$F$16,progress!D234+2,progress!C234)</f>
        <v>10</v>
      </c>
      <c r="I234" s="70" t="s">
        <v>3068</v>
      </c>
      <c r="J234" s="70">
        <v>4500</v>
      </c>
    </row>
    <row r="235" spans="1:10" x14ac:dyDescent="0.15">
      <c r="A235" s="31">
        <v>1230</v>
      </c>
      <c r="B235" s="31" t="s">
        <v>323</v>
      </c>
      <c r="C235" s="35">
        <f>INDEX(monster!$D$2:$D$700,MATCH(progress!A235,monster!$A$2:$A$700,0))</f>
        <v>5</v>
      </c>
      <c r="D235" s="35">
        <f>INDEX(monster!$E$2:$E$700,MATCH(progress!A235,monster!$A$2:$A$700,0))</f>
        <v>2</v>
      </c>
      <c r="E235" s="70">
        <f>INDEX(产销规划表!$G$5:$K$16,progress!D235+2,progress!C235-1)</f>
        <v>20000</v>
      </c>
      <c r="F235" s="44">
        <v>2</v>
      </c>
      <c r="G235" s="70" t="s">
        <v>2564</v>
      </c>
      <c r="H235" s="44">
        <f>INDEX(产销规划表!$B$5:$F$16,progress!D235+2,progress!C235)</f>
        <v>20</v>
      </c>
      <c r="I235" s="70" t="s">
        <v>3068</v>
      </c>
      <c r="J235" s="70">
        <v>6750</v>
      </c>
    </row>
    <row r="236" spans="1:10" x14ac:dyDescent="0.15">
      <c r="A236" s="31">
        <v>1231</v>
      </c>
      <c r="B236" s="31" t="s">
        <v>324</v>
      </c>
      <c r="C236" s="35">
        <f>INDEX(monster!$D$2:$D$700,MATCH(progress!A236,monster!$A$2:$A$700,0))</f>
        <v>5</v>
      </c>
      <c r="D236" s="35">
        <f>INDEX(monster!$E$2:$E$700,MATCH(progress!A236,monster!$A$2:$A$700,0))</f>
        <v>3</v>
      </c>
      <c r="E236" s="70">
        <f>INDEX(产销规划表!$G$5:$K$16,progress!D236+2,progress!C236-1)</f>
        <v>40000</v>
      </c>
      <c r="F236" s="44">
        <v>2</v>
      </c>
      <c r="G236" s="70" t="s">
        <v>2564</v>
      </c>
      <c r="H236" s="44">
        <f>INDEX(产销规划表!$B$5:$F$16,progress!D236+2,progress!C236)</f>
        <v>50</v>
      </c>
      <c r="I236" s="70" t="s">
        <v>3068</v>
      </c>
      <c r="J236" s="70">
        <v>11250</v>
      </c>
    </row>
    <row r="237" spans="1:10" x14ac:dyDescent="0.15">
      <c r="A237" s="31">
        <v>1232</v>
      </c>
      <c r="B237" s="31" t="s">
        <v>325</v>
      </c>
      <c r="C237" s="35">
        <f>INDEX(monster!$D$2:$D$700,MATCH(progress!A237,monster!$A$2:$A$700,0))</f>
        <v>5</v>
      </c>
      <c r="D237" s="35">
        <f>INDEX(monster!$E$2:$E$700,MATCH(progress!A237,monster!$A$2:$A$700,0))</f>
        <v>4</v>
      </c>
      <c r="E237" s="70">
        <f>INDEX(产销规划表!$G$5:$K$16,progress!D237+2,progress!C237-1)</f>
        <v>100000</v>
      </c>
      <c r="F237" s="44">
        <v>2</v>
      </c>
      <c r="G237" s="70" t="s">
        <v>2564</v>
      </c>
      <c r="H237" s="44">
        <f>INDEX(产销规划表!$B$5:$F$16,progress!D237+2,progress!C237)</f>
        <v>80</v>
      </c>
      <c r="I237" s="70" t="s">
        <v>3068</v>
      </c>
      <c r="J237" s="70">
        <v>16250</v>
      </c>
    </row>
    <row r="238" spans="1:10" x14ac:dyDescent="0.15">
      <c r="A238" s="31">
        <v>1233</v>
      </c>
      <c r="B238" s="31" t="s">
        <v>326</v>
      </c>
      <c r="C238" s="35">
        <f>INDEX(monster!$D$2:$D$700,MATCH(progress!A238,monster!$A$2:$A$700,0))</f>
        <v>5</v>
      </c>
      <c r="D238" s="35">
        <f>INDEX(monster!$E$2:$E$700,MATCH(progress!A238,monster!$A$2:$A$700,0))</f>
        <v>5</v>
      </c>
      <c r="E238" s="70">
        <f>INDEX(产销规划表!$G$5:$K$16,progress!D238+2,progress!C238-1)</f>
        <v>200000</v>
      </c>
      <c r="F238" s="44">
        <v>2</v>
      </c>
      <c r="G238" s="70" t="s">
        <v>2564</v>
      </c>
      <c r="H238" s="44">
        <f>INDEX(产销规划表!$B$5:$F$16,progress!D238+2,progress!C238)</f>
        <v>120</v>
      </c>
      <c r="I238" s="70" t="s">
        <v>3068</v>
      </c>
      <c r="J238" s="70">
        <v>30000</v>
      </c>
    </row>
    <row r="239" spans="1:10" x14ac:dyDescent="0.15">
      <c r="A239" s="31">
        <v>1234</v>
      </c>
      <c r="B239" s="31" t="s">
        <v>327</v>
      </c>
      <c r="C239" s="35">
        <f>INDEX(monster!$D$2:$D$700,MATCH(progress!A239,monster!$A$2:$A$700,0))</f>
        <v>5</v>
      </c>
      <c r="D239" s="35">
        <f>INDEX(monster!$E$2:$E$700,MATCH(progress!A239,monster!$A$2:$A$700,0))</f>
        <v>6</v>
      </c>
      <c r="E239" s="70">
        <f>INDEX(产销规划表!$G$5:$K$16,progress!D239+2,progress!C239-1)</f>
        <v>500000</v>
      </c>
      <c r="F239" s="44">
        <v>2</v>
      </c>
      <c r="G239" s="70" t="s">
        <v>2564</v>
      </c>
      <c r="H239" s="44">
        <f>INDEX(产销规划表!$B$5:$F$16,progress!D239+2,progress!C239)</f>
        <v>200</v>
      </c>
      <c r="I239" s="70" t="s">
        <v>3068</v>
      </c>
      <c r="J239" s="70">
        <v>45000</v>
      </c>
    </row>
    <row r="240" spans="1:10" x14ac:dyDescent="0.15">
      <c r="A240" s="31">
        <v>1235</v>
      </c>
      <c r="B240" s="31" t="s">
        <v>328</v>
      </c>
      <c r="C240" s="35">
        <f>INDEX(monster!$D$2:$D$700,MATCH(progress!A240,monster!$A$2:$A$700,0))</f>
        <v>5</v>
      </c>
      <c r="D240" s="35">
        <f>INDEX(monster!$E$2:$E$700,MATCH(progress!A240,monster!$A$2:$A$700,0))</f>
        <v>7</v>
      </c>
      <c r="E240" s="70">
        <f>INDEX(产销规划表!$G$5:$K$16,progress!D240+2,progress!C240-1)</f>
        <v>1000000</v>
      </c>
      <c r="F240" s="44">
        <v>2</v>
      </c>
      <c r="G240" s="70" t="s">
        <v>2564</v>
      </c>
      <c r="H240" s="44">
        <f>INDEX(产销规划表!$B$5:$F$16,progress!D240+2,progress!C240)</f>
        <v>350</v>
      </c>
      <c r="I240" s="70" t="s">
        <v>3068</v>
      </c>
      <c r="J240" s="70">
        <v>67500</v>
      </c>
    </row>
    <row r="241" spans="1:10" x14ac:dyDescent="0.15">
      <c r="A241" s="31">
        <v>1236</v>
      </c>
      <c r="B241" s="31" t="s">
        <v>329</v>
      </c>
      <c r="C241" s="35">
        <f>INDEX(monster!$D$2:$D$700,MATCH(progress!A241,monster!$A$2:$A$700,0))</f>
        <v>5</v>
      </c>
      <c r="D241" s="35">
        <f>INDEX(monster!$E$2:$E$700,MATCH(progress!A241,monster!$A$2:$A$700,0))</f>
        <v>8</v>
      </c>
      <c r="E241" s="70">
        <f>INDEX(产销规划表!$G$5:$K$16,progress!D241+2,progress!C241-1)</f>
        <v>2000000</v>
      </c>
      <c r="F241" s="44">
        <v>2</v>
      </c>
      <c r="G241" s="70" t="s">
        <v>2564</v>
      </c>
      <c r="H241" s="44">
        <f>INDEX(产销规划表!$B$5:$F$16,progress!D241+2,progress!C241)</f>
        <v>600</v>
      </c>
      <c r="I241" s="70" t="s">
        <v>3068</v>
      </c>
      <c r="J241" s="70">
        <v>100000</v>
      </c>
    </row>
    <row r="242" spans="1:10" x14ac:dyDescent="0.15">
      <c r="A242" s="31">
        <v>1237</v>
      </c>
      <c r="B242" s="31" t="s">
        <v>330</v>
      </c>
      <c r="C242" s="35">
        <f>INDEX(monster!$D$2:$D$700,MATCH(progress!A242,monster!$A$2:$A$700,0))</f>
        <v>5</v>
      </c>
      <c r="D242" s="35">
        <f>INDEX(monster!$E$2:$E$700,MATCH(progress!A242,monster!$A$2:$A$700,0))</f>
        <v>9</v>
      </c>
      <c r="E242" s="70">
        <f>INDEX(产销规划表!$G$5:$K$16,progress!D242+2,progress!C242-1)</f>
        <v>5000000</v>
      </c>
      <c r="F242" s="44">
        <v>2</v>
      </c>
      <c r="G242" s="70" t="s">
        <v>2564</v>
      </c>
      <c r="H242" s="44">
        <f>INDEX(产销规划表!$B$5:$F$16,progress!D242+2,progress!C242)</f>
        <v>1000</v>
      </c>
      <c r="I242" s="70" t="s">
        <v>3068</v>
      </c>
      <c r="J242" s="70">
        <v>150000</v>
      </c>
    </row>
    <row r="243" spans="1:10" x14ac:dyDescent="0.15">
      <c r="A243" s="31">
        <v>1238</v>
      </c>
      <c r="B243" s="31" t="s">
        <v>331</v>
      </c>
      <c r="C243" s="35">
        <f>INDEX(monster!$D$2:$D$700,MATCH(progress!A243,monster!$A$2:$A$700,0))</f>
        <v>5</v>
      </c>
      <c r="D243" s="35">
        <f>INDEX(monster!$E$2:$E$700,MATCH(progress!A243,monster!$A$2:$A$700,0))</f>
        <v>10</v>
      </c>
      <c r="E243" s="44">
        <f>INDEX(产销规划表!$G$5:$K$16,progress!D243+2,progress!C243)</f>
        <v>-1</v>
      </c>
      <c r="F243" s="44">
        <v>2</v>
      </c>
      <c r="G243" s="70" t="s">
        <v>2564</v>
      </c>
      <c r="H243" s="44">
        <f>INDEX(产销规划表!$B$5:$F$16,progress!D243+2,progress!C243)</f>
        <v>-1</v>
      </c>
      <c r="I243" s="70" t="s">
        <v>3068</v>
      </c>
      <c r="J243" s="44">
        <v>-1</v>
      </c>
    </row>
    <row r="244" spans="1:10" x14ac:dyDescent="0.15">
      <c r="A244" s="31">
        <v>1239</v>
      </c>
      <c r="B244" s="31" t="s">
        <v>1821</v>
      </c>
      <c r="C244" s="35">
        <f>INDEX(monster!$D$2:$D$700,MATCH(progress!A244,monster!$A$2:$A$700,0))</f>
        <v>1</v>
      </c>
      <c r="D244" s="35">
        <f>INDEX(monster!$E$2:$E$700,MATCH(progress!A244,monster!$A$2:$A$700,0))</f>
        <v>0</v>
      </c>
      <c r="E244" s="44">
        <f>INDEX(产销规划表!$G$5:$K$16,progress!D244+2,progress!C244)</f>
        <v>100</v>
      </c>
      <c r="F244" s="44">
        <v>2</v>
      </c>
      <c r="G244" s="70" t="s">
        <v>2565</v>
      </c>
      <c r="H244" s="44">
        <f>INDEX(产销规划表!$B$5:$F$16,progress!D244+2,progress!C244)</f>
        <v>5</v>
      </c>
      <c r="I244" s="70" t="s">
        <v>3068</v>
      </c>
      <c r="J244" s="44">
        <v>125</v>
      </c>
    </row>
    <row r="245" spans="1:10" x14ac:dyDescent="0.15">
      <c r="A245" s="31">
        <v>1240</v>
      </c>
      <c r="B245" s="31" t="s">
        <v>1822</v>
      </c>
      <c r="C245" s="35">
        <f>INDEX(monster!$D$2:$D$700,MATCH(progress!A245,monster!$A$2:$A$700,0))</f>
        <v>1</v>
      </c>
      <c r="D245" s="35">
        <f>INDEX(monster!$E$2:$E$700,MATCH(progress!A245,monster!$A$2:$A$700,0))</f>
        <v>1</v>
      </c>
      <c r="E245" s="44">
        <f>INDEX(产销规划表!$G$5:$K$16,progress!D245+2,progress!C245)</f>
        <v>200</v>
      </c>
      <c r="F245" s="44">
        <v>2</v>
      </c>
      <c r="G245" s="70" t="s">
        <v>2565</v>
      </c>
      <c r="H245" s="44">
        <f>INDEX(产销规划表!$B$5:$F$16,progress!D245+2,progress!C245)</f>
        <v>10</v>
      </c>
      <c r="I245" s="70" t="s">
        <v>3068</v>
      </c>
      <c r="J245" s="44">
        <v>250</v>
      </c>
    </row>
    <row r="246" spans="1:10" x14ac:dyDescent="0.15">
      <c r="A246" s="31">
        <v>1241</v>
      </c>
      <c r="B246" s="31" t="s">
        <v>332</v>
      </c>
      <c r="C246" s="35">
        <f>INDEX(monster!$D$2:$D$700,MATCH(progress!A246,monster!$A$2:$A$700,0))</f>
        <v>1</v>
      </c>
      <c r="D246" s="35">
        <f>INDEX(monster!$E$2:$E$700,MATCH(progress!A246,monster!$A$2:$A$700,0))</f>
        <v>2</v>
      </c>
      <c r="E246" s="44">
        <f>INDEX(产销规划表!$G$5:$K$16,progress!D246+2,progress!C246)</f>
        <v>500</v>
      </c>
      <c r="F246" s="44">
        <v>2</v>
      </c>
      <c r="G246" s="70" t="s">
        <v>2565</v>
      </c>
      <c r="H246" s="44">
        <f>INDEX(产销规划表!$B$5:$F$16,progress!D246+2,progress!C246)</f>
        <v>20</v>
      </c>
      <c r="I246" s="70" t="s">
        <v>3068</v>
      </c>
      <c r="J246" s="44">
        <v>375</v>
      </c>
    </row>
    <row r="247" spans="1:10" x14ac:dyDescent="0.15">
      <c r="A247" s="31">
        <v>1242</v>
      </c>
      <c r="B247" s="31" t="s">
        <v>333</v>
      </c>
      <c r="C247" s="35">
        <f>INDEX(monster!$D$2:$D$700,MATCH(progress!A247,monster!$A$2:$A$700,0))</f>
        <v>1</v>
      </c>
      <c r="D247" s="35">
        <f>INDEX(monster!$E$2:$E$700,MATCH(progress!A247,monster!$A$2:$A$700,0))</f>
        <v>3</v>
      </c>
      <c r="E247" s="44">
        <f>INDEX(产销规划表!$G$5:$K$16,progress!D247+2,progress!C247)</f>
        <v>1500</v>
      </c>
      <c r="F247" s="44">
        <v>2</v>
      </c>
      <c r="G247" s="70" t="s">
        <v>2565</v>
      </c>
      <c r="H247" s="44">
        <f>INDEX(产销规划表!$B$5:$F$16,progress!D247+2,progress!C247)</f>
        <v>50</v>
      </c>
      <c r="I247" s="70" t="s">
        <v>3068</v>
      </c>
      <c r="J247" s="44">
        <v>625</v>
      </c>
    </row>
    <row r="248" spans="1:10" x14ac:dyDescent="0.15">
      <c r="A248" s="31">
        <v>1243</v>
      </c>
      <c r="B248" s="31" t="s">
        <v>334</v>
      </c>
      <c r="C248" s="35">
        <f>INDEX(monster!$D$2:$D$700,MATCH(progress!A248,monster!$A$2:$A$700,0))</f>
        <v>1</v>
      </c>
      <c r="D248" s="35">
        <f>INDEX(monster!$E$2:$E$700,MATCH(progress!A248,monster!$A$2:$A$700,0))</f>
        <v>4</v>
      </c>
      <c r="E248" s="44">
        <f>INDEX(产销规划表!$G$5:$K$16,progress!D248+2,progress!C248)</f>
        <v>4000</v>
      </c>
      <c r="F248" s="44">
        <v>2</v>
      </c>
      <c r="G248" s="70" t="s">
        <v>2565</v>
      </c>
      <c r="H248" s="44">
        <f>INDEX(产销规划表!$B$5:$F$16,progress!D248+2,progress!C248)</f>
        <v>80</v>
      </c>
      <c r="I248" s="70" t="s">
        <v>3068</v>
      </c>
      <c r="J248" s="44">
        <v>1000</v>
      </c>
    </row>
    <row r="249" spans="1:10" x14ac:dyDescent="0.15">
      <c r="A249" s="31">
        <v>1244</v>
      </c>
      <c r="B249" s="31" t="s">
        <v>335</v>
      </c>
      <c r="C249" s="35">
        <f>INDEX(monster!$D$2:$D$700,MATCH(progress!A249,monster!$A$2:$A$700,0))</f>
        <v>1</v>
      </c>
      <c r="D249" s="35">
        <f>INDEX(monster!$E$2:$E$700,MATCH(progress!A249,monster!$A$2:$A$700,0))</f>
        <v>5</v>
      </c>
      <c r="E249" s="44">
        <f>INDEX(产销规划表!$G$5:$K$16,progress!D249+2,progress!C249)</f>
        <v>10000</v>
      </c>
      <c r="F249" s="44">
        <v>2</v>
      </c>
      <c r="G249" s="70" t="s">
        <v>2565</v>
      </c>
      <c r="H249" s="44">
        <f>INDEX(产销规划表!$B$5:$F$16,progress!D249+2,progress!C249)</f>
        <v>120</v>
      </c>
      <c r="I249" s="70" t="s">
        <v>3068</v>
      </c>
      <c r="J249" s="44">
        <v>1625</v>
      </c>
    </row>
    <row r="250" spans="1:10" x14ac:dyDescent="0.15">
      <c r="A250" s="31">
        <v>1245</v>
      </c>
      <c r="B250" s="31" t="s">
        <v>336</v>
      </c>
      <c r="C250" s="35">
        <f>INDEX(monster!$D$2:$D$700,MATCH(progress!A250,monster!$A$2:$A$700,0))</f>
        <v>1</v>
      </c>
      <c r="D250" s="35">
        <f>INDEX(monster!$E$2:$E$700,MATCH(progress!A250,monster!$A$2:$A$700,0))</f>
        <v>6</v>
      </c>
      <c r="E250" s="44">
        <f>INDEX(产销规划表!$G$5:$K$16,progress!D250+2,progress!C250)</f>
        <v>20000</v>
      </c>
      <c r="F250" s="44">
        <v>2</v>
      </c>
      <c r="G250" s="70" t="s">
        <v>2565</v>
      </c>
      <c r="H250" s="44">
        <f>INDEX(产销规划表!$B$5:$F$16,progress!D250+2,progress!C250)</f>
        <v>200</v>
      </c>
      <c r="I250" s="70" t="s">
        <v>3068</v>
      </c>
      <c r="J250" s="44">
        <v>2500</v>
      </c>
    </row>
    <row r="251" spans="1:10" x14ac:dyDescent="0.15">
      <c r="A251" s="31">
        <v>1246</v>
      </c>
      <c r="B251" s="31" t="s">
        <v>337</v>
      </c>
      <c r="C251" s="35">
        <f>INDEX(monster!$D$2:$D$700,MATCH(progress!A251,monster!$A$2:$A$700,0))</f>
        <v>1</v>
      </c>
      <c r="D251" s="35">
        <f>INDEX(monster!$E$2:$E$700,MATCH(progress!A251,monster!$A$2:$A$700,0))</f>
        <v>7</v>
      </c>
      <c r="E251" s="44">
        <f>INDEX(产销规划表!$G$5:$K$16,progress!D251+2,progress!C251)</f>
        <v>40000</v>
      </c>
      <c r="F251" s="44">
        <v>2</v>
      </c>
      <c r="G251" s="70" t="s">
        <v>2565</v>
      </c>
      <c r="H251" s="44">
        <f>INDEX(产销规划表!$B$5:$F$16,progress!D251+2,progress!C251)</f>
        <v>350</v>
      </c>
      <c r="I251" s="70" t="s">
        <v>3068</v>
      </c>
      <c r="J251" s="44">
        <v>3750</v>
      </c>
    </row>
    <row r="252" spans="1:10" x14ac:dyDescent="0.15">
      <c r="A252" s="31">
        <v>1247</v>
      </c>
      <c r="B252" s="31" t="s">
        <v>338</v>
      </c>
      <c r="C252" s="35">
        <f>INDEX(monster!$D$2:$D$700,MATCH(progress!A252,monster!$A$2:$A$700,0))</f>
        <v>1</v>
      </c>
      <c r="D252" s="35">
        <f>INDEX(monster!$E$2:$E$700,MATCH(progress!A252,monster!$A$2:$A$700,0))</f>
        <v>8</v>
      </c>
      <c r="E252" s="44">
        <f>INDEX(产销规划表!$G$5:$K$16,progress!D252+2,progress!C252)</f>
        <v>100000</v>
      </c>
      <c r="F252" s="44">
        <v>2</v>
      </c>
      <c r="G252" s="70" t="s">
        <v>2565</v>
      </c>
      <c r="H252" s="44">
        <f>INDEX(产销规划表!$B$5:$F$16,progress!D252+2,progress!C252)</f>
        <v>600</v>
      </c>
      <c r="I252" s="70" t="s">
        <v>3068</v>
      </c>
      <c r="J252" s="44">
        <v>5750</v>
      </c>
    </row>
    <row r="253" spans="1:10" x14ac:dyDescent="0.15">
      <c r="A253" s="31">
        <v>1248</v>
      </c>
      <c r="B253" s="31" t="s">
        <v>339</v>
      </c>
      <c r="C253" s="35">
        <f>INDEX(monster!$D$2:$D$700,MATCH(progress!A253,monster!$A$2:$A$700,0))</f>
        <v>1</v>
      </c>
      <c r="D253" s="35">
        <f>INDEX(monster!$E$2:$E$700,MATCH(progress!A253,monster!$A$2:$A$700,0))</f>
        <v>9</v>
      </c>
      <c r="E253" s="44">
        <f>INDEX(产销规划表!$G$5:$K$16,progress!D253+2,progress!C253)</f>
        <v>200000</v>
      </c>
      <c r="F253" s="44">
        <v>2</v>
      </c>
      <c r="G253" s="70" t="s">
        <v>2565</v>
      </c>
      <c r="H253" s="44">
        <f>INDEX(产销规划表!$B$5:$F$16,progress!D253+2,progress!C253)</f>
        <v>1000</v>
      </c>
      <c r="I253" s="70" t="s">
        <v>3068</v>
      </c>
      <c r="J253" s="44">
        <v>9000</v>
      </c>
    </row>
    <row r="254" spans="1:10" x14ac:dyDescent="0.15">
      <c r="A254" s="31">
        <v>1249</v>
      </c>
      <c r="B254" s="31" t="s">
        <v>340</v>
      </c>
      <c r="C254" s="35">
        <f>INDEX(monster!$D$2:$D$700,MATCH(progress!A254,monster!$A$2:$A$700,0))</f>
        <v>1</v>
      </c>
      <c r="D254" s="35">
        <f>INDEX(monster!$E$2:$E$700,MATCH(progress!A254,monster!$A$2:$A$700,0))</f>
        <v>10</v>
      </c>
      <c r="E254" s="44">
        <f>INDEX(产销规划表!$G$5:$K$16,progress!D254+2,progress!C254)</f>
        <v>-1</v>
      </c>
      <c r="F254" s="44">
        <v>2</v>
      </c>
      <c r="G254" s="70" t="s">
        <v>2565</v>
      </c>
      <c r="H254" s="44">
        <f>INDEX(产销规划表!$B$5:$F$16,progress!D254+2,progress!C254)</f>
        <v>-1</v>
      </c>
      <c r="I254" s="70" t="s">
        <v>3068</v>
      </c>
      <c r="J254" s="44">
        <v>-1</v>
      </c>
    </row>
    <row r="255" spans="1:10" x14ac:dyDescent="0.15">
      <c r="A255" s="31">
        <v>1250</v>
      </c>
      <c r="B255" s="31" t="s">
        <v>1823</v>
      </c>
      <c r="C255" s="35">
        <f>INDEX(monster!$D$2:$D$700,MATCH(progress!A255,monster!$A$2:$A$700,0))</f>
        <v>3</v>
      </c>
      <c r="D255" s="35">
        <f>INDEX(monster!$E$2:$E$700,MATCH(progress!A255,monster!$A$2:$A$700,0))</f>
        <v>0</v>
      </c>
      <c r="E255" s="44">
        <f>INDEX(产销规划表!$G$5:$K$16,progress!D255+2,progress!C255)</f>
        <v>500</v>
      </c>
      <c r="F255" s="44">
        <v>2</v>
      </c>
      <c r="G255" s="70" t="s">
        <v>2566</v>
      </c>
      <c r="H255" s="44">
        <f>INDEX(产销规划表!$B$5:$F$16,progress!D255+2,progress!C255)</f>
        <v>5</v>
      </c>
      <c r="I255" s="70" t="s">
        <v>3068</v>
      </c>
      <c r="J255" s="44">
        <v>250</v>
      </c>
    </row>
    <row r="256" spans="1:10" x14ac:dyDescent="0.15">
      <c r="A256" s="31">
        <v>1251</v>
      </c>
      <c r="B256" s="31" t="s">
        <v>1824</v>
      </c>
      <c r="C256" s="35">
        <f>INDEX(monster!$D$2:$D$700,MATCH(progress!A256,monster!$A$2:$A$700,0))</f>
        <v>3</v>
      </c>
      <c r="D256" s="35">
        <f>INDEX(monster!$E$2:$E$700,MATCH(progress!A256,monster!$A$2:$A$700,0))</f>
        <v>1</v>
      </c>
      <c r="E256" s="44">
        <f>INDEX(产销规划表!$G$5:$K$16,progress!D256+2,progress!C256)</f>
        <v>1500</v>
      </c>
      <c r="F256" s="44">
        <v>2</v>
      </c>
      <c r="G256" s="70" t="s">
        <v>2566</v>
      </c>
      <c r="H256" s="44">
        <f>INDEX(产销规划表!$B$5:$F$16,progress!D256+2,progress!C256)</f>
        <v>10</v>
      </c>
      <c r="I256" s="70" t="s">
        <v>3068</v>
      </c>
      <c r="J256" s="44">
        <v>500</v>
      </c>
    </row>
    <row r="257" spans="1:10" x14ac:dyDescent="0.15">
      <c r="A257" s="31">
        <v>1252</v>
      </c>
      <c r="B257" s="31" t="s">
        <v>341</v>
      </c>
      <c r="C257" s="35">
        <f>INDEX(monster!$D$2:$D$700,MATCH(progress!A257,monster!$A$2:$A$700,0))</f>
        <v>3</v>
      </c>
      <c r="D257" s="35">
        <f>INDEX(monster!$E$2:$E$700,MATCH(progress!A257,monster!$A$2:$A$700,0))</f>
        <v>2</v>
      </c>
      <c r="E257" s="44">
        <f>INDEX(产销规划表!$G$5:$K$16,progress!D257+2,progress!C257)</f>
        <v>4000</v>
      </c>
      <c r="F257" s="44">
        <v>2</v>
      </c>
      <c r="G257" s="70" t="s">
        <v>2566</v>
      </c>
      <c r="H257" s="44">
        <f>INDEX(产销规划表!$B$5:$F$16,progress!D257+2,progress!C257)</f>
        <v>20</v>
      </c>
      <c r="I257" s="70" t="s">
        <v>3068</v>
      </c>
      <c r="J257" s="44">
        <v>750</v>
      </c>
    </row>
    <row r="258" spans="1:10" x14ac:dyDescent="0.15">
      <c r="A258" s="31">
        <v>1253</v>
      </c>
      <c r="B258" s="31" t="s">
        <v>342</v>
      </c>
      <c r="C258" s="35">
        <f>INDEX(monster!$D$2:$D$700,MATCH(progress!A258,monster!$A$2:$A$700,0))</f>
        <v>3</v>
      </c>
      <c r="D258" s="35">
        <f>INDEX(monster!$E$2:$E$700,MATCH(progress!A258,monster!$A$2:$A$700,0))</f>
        <v>3</v>
      </c>
      <c r="E258" s="44">
        <f>INDEX(产销规划表!$G$5:$K$16,progress!D258+2,progress!C258)</f>
        <v>10000</v>
      </c>
      <c r="F258" s="44">
        <v>2</v>
      </c>
      <c r="G258" s="70" t="s">
        <v>2566</v>
      </c>
      <c r="H258" s="44">
        <f>INDEX(产销规划表!$B$5:$F$16,progress!D258+2,progress!C258)</f>
        <v>50</v>
      </c>
      <c r="I258" s="70" t="s">
        <v>3068</v>
      </c>
      <c r="J258" s="44">
        <v>1250</v>
      </c>
    </row>
    <row r="259" spans="1:10" x14ac:dyDescent="0.15">
      <c r="A259" s="31">
        <v>1254</v>
      </c>
      <c r="B259" s="31" t="s">
        <v>343</v>
      </c>
      <c r="C259" s="35">
        <f>INDEX(monster!$D$2:$D$700,MATCH(progress!A259,monster!$A$2:$A$700,0))</f>
        <v>3</v>
      </c>
      <c r="D259" s="35">
        <f>INDEX(monster!$E$2:$E$700,MATCH(progress!A259,monster!$A$2:$A$700,0))</f>
        <v>4</v>
      </c>
      <c r="E259" s="44">
        <f>INDEX(产销规划表!$G$5:$K$16,progress!D259+2,progress!C259)</f>
        <v>20000</v>
      </c>
      <c r="F259" s="44">
        <v>2</v>
      </c>
      <c r="G259" s="70" t="s">
        <v>2566</v>
      </c>
      <c r="H259" s="44">
        <f>INDEX(产销规划表!$B$5:$F$16,progress!D259+2,progress!C259)</f>
        <v>80</v>
      </c>
      <c r="I259" s="70" t="s">
        <v>3068</v>
      </c>
      <c r="J259" s="44">
        <v>2000</v>
      </c>
    </row>
    <row r="260" spans="1:10" x14ac:dyDescent="0.15">
      <c r="A260" s="31">
        <v>1255</v>
      </c>
      <c r="B260" s="31" t="s">
        <v>344</v>
      </c>
      <c r="C260" s="35">
        <f>INDEX(monster!$D$2:$D$700,MATCH(progress!A260,monster!$A$2:$A$700,0))</f>
        <v>3</v>
      </c>
      <c r="D260" s="35">
        <f>INDEX(monster!$E$2:$E$700,MATCH(progress!A260,monster!$A$2:$A$700,0))</f>
        <v>5</v>
      </c>
      <c r="E260" s="44">
        <f>INDEX(产销规划表!$G$5:$K$16,progress!D260+2,progress!C260)</f>
        <v>40000</v>
      </c>
      <c r="F260" s="44">
        <v>2</v>
      </c>
      <c r="G260" s="70" t="s">
        <v>2566</v>
      </c>
      <c r="H260" s="44">
        <f>INDEX(产销规划表!$B$5:$F$16,progress!D260+2,progress!C260)</f>
        <v>120</v>
      </c>
      <c r="I260" s="70" t="s">
        <v>3068</v>
      </c>
      <c r="J260" s="44">
        <v>3250</v>
      </c>
    </row>
    <row r="261" spans="1:10" x14ac:dyDescent="0.15">
      <c r="A261" s="31">
        <v>1256</v>
      </c>
      <c r="B261" s="31" t="s">
        <v>345</v>
      </c>
      <c r="C261" s="35">
        <f>INDEX(monster!$D$2:$D$700,MATCH(progress!A261,monster!$A$2:$A$700,0))</f>
        <v>3</v>
      </c>
      <c r="D261" s="35">
        <f>INDEX(monster!$E$2:$E$700,MATCH(progress!A261,monster!$A$2:$A$700,0))</f>
        <v>6</v>
      </c>
      <c r="E261" s="44">
        <f>INDEX(产销规划表!$G$5:$K$16,progress!D261+2,progress!C261)</f>
        <v>100000</v>
      </c>
      <c r="F261" s="44">
        <v>2</v>
      </c>
      <c r="G261" s="70" t="s">
        <v>2566</v>
      </c>
      <c r="H261" s="44">
        <f>INDEX(产销规划表!$B$5:$F$16,progress!D261+2,progress!C261)</f>
        <v>200</v>
      </c>
      <c r="I261" s="70" t="s">
        <v>3068</v>
      </c>
      <c r="J261" s="44">
        <v>5000</v>
      </c>
    </row>
    <row r="262" spans="1:10" x14ac:dyDescent="0.15">
      <c r="A262" s="31">
        <v>1257</v>
      </c>
      <c r="B262" s="31" t="s">
        <v>346</v>
      </c>
      <c r="C262" s="35">
        <f>INDEX(monster!$D$2:$D$700,MATCH(progress!A262,monster!$A$2:$A$700,0))</f>
        <v>3</v>
      </c>
      <c r="D262" s="35">
        <f>INDEX(monster!$E$2:$E$700,MATCH(progress!A262,monster!$A$2:$A$700,0))</f>
        <v>7</v>
      </c>
      <c r="E262" s="44">
        <f>INDEX(产销规划表!$G$5:$K$16,progress!D262+2,progress!C262)</f>
        <v>200000</v>
      </c>
      <c r="F262" s="44">
        <v>2</v>
      </c>
      <c r="G262" s="70" t="s">
        <v>2566</v>
      </c>
      <c r="H262" s="44">
        <f>INDEX(产销规划表!$B$5:$F$16,progress!D262+2,progress!C262)</f>
        <v>350</v>
      </c>
      <c r="I262" s="70" t="s">
        <v>3068</v>
      </c>
      <c r="J262" s="44">
        <v>7500</v>
      </c>
    </row>
    <row r="263" spans="1:10" x14ac:dyDescent="0.15">
      <c r="A263" s="31">
        <v>1258</v>
      </c>
      <c r="B263" s="31" t="s">
        <v>347</v>
      </c>
      <c r="C263" s="35">
        <f>INDEX(monster!$D$2:$D$700,MATCH(progress!A263,monster!$A$2:$A$700,0))</f>
        <v>3</v>
      </c>
      <c r="D263" s="35">
        <f>INDEX(monster!$E$2:$E$700,MATCH(progress!A263,monster!$A$2:$A$700,0))</f>
        <v>8</v>
      </c>
      <c r="E263" s="44">
        <f>INDEX(产销规划表!$G$5:$K$16,progress!D263+2,progress!C263)</f>
        <v>500000</v>
      </c>
      <c r="F263" s="44">
        <v>2</v>
      </c>
      <c r="G263" s="70" t="s">
        <v>2566</v>
      </c>
      <c r="H263" s="44">
        <f>INDEX(产销规划表!$B$5:$F$16,progress!D263+2,progress!C263)</f>
        <v>600</v>
      </c>
      <c r="I263" s="70" t="s">
        <v>3068</v>
      </c>
      <c r="J263" s="44">
        <v>11250</v>
      </c>
    </row>
    <row r="264" spans="1:10" x14ac:dyDescent="0.15">
      <c r="A264" s="31">
        <v>1259</v>
      </c>
      <c r="B264" s="31" t="s">
        <v>348</v>
      </c>
      <c r="C264" s="35">
        <f>INDEX(monster!$D$2:$D$700,MATCH(progress!A264,monster!$A$2:$A$700,0))</f>
        <v>3</v>
      </c>
      <c r="D264" s="35">
        <f>INDEX(monster!$E$2:$E$700,MATCH(progress!A264,monster!$A$2:$A$700,0))</f>
        <v>9</v>
      </c>
      <c r="E264" s="44">
        <f>INDEX(产销规划表!$G$5:$K$16,progress!D264+2,progress!C264)</f>
        <v>1000000</v>
      </c>
      <c r="F264" s="44">
        <v>2</v>
      </c>
      <c r="G264" s="70" t="s">
        <v>2566</v>
      </c>
      <c r="H264" s="44">
        <f>INDEX(产销规划表!$B$5:$F$16,progress!D264+2,progress!C264)</f>
        <v>1000</v>
      </c>
      <c r="I264" s="70" t="s">
        <v>3068</v>
      </c>
      <c r="J264" s="44">
        <v>18000</v>
      </c>
    </row>
    <row r="265" spans="1:10" x14ac:dyDescent="0.15">
      <c r="A265" s="31">
        <v>1260</v>
      </c>
      <c r="B265" s="31" t="s">
        <v>349</v>
      </c>
      <c r="C265" s="35">
        <f>INDEX(monster!$D$2:$D$700,MATCH(progress!A265,monster!$A$2:$A$700,0))</f>
        <v>3</v>
      </c>
      <c r="D265" s="35">
        <f>INDEX(monster!$E$2:$E$700,MATCH(progress!A265,monster!$A$2:$A$700,0))</f>
        <v>10</v>
      </c>
      <c r="E265" s="44">
        <f>INDEX(产销规划表!$G$5:$K$16,progress!D265+2,progress!C265)</f>
        <v>-1</v>
      </c>
      <c r="F265" s="44">
        <v>2</v>
      </c>
      <c r="G265" s="70" t="s">
        <v>2566</v>
      </c>
      <c r="H265" s="44">
        <f>INDEX(产销规划表!$B$5:$F$16,progress!D265+2,progress!C265)</f>
        <v>-1</v>
      </c>
      <c r="I265" s="70" t="s">
        <v>3068</v>
      </c>
      <c r="J265" s="44">
        <v>-1</v>
      </c>
    </row>
    <row r="266" spans="1:10" x14ac:dyDescent="0.15">
      <c r="A266" s="31">
        <v>1261</v>
      </c>
      <c r="B266" s="31" t="s">
        <v>1825</v>
      </c>
      <c r="C266" s="35">
        <f>INDEX(monster!$D$2:$D$700,MATCH(progress!A266,monster!$A$2:$A$700,0))</f>
        <v>4</v>
      </c>
      <c r="D266" s="35">
        <f>INDEX(monster!$E$2:$E$700,MATCH(progress!A266,monster!$A$2:$A$700,0))</f>
        <v>0</v>
      </c>
      <c r="E266" s="44">
        <f>INDEX(产销规划表!$G$5:$K$16,progress!D266+2,progress!C266)</f>
        <v>4000</v>
      </c>
      <c r="F266" s="44">
        <v>2</v>
      </c>
      <c r="G266" s="70" t="s">
        <v>2567</v>
      </c>
      <c r="H266" s="44">
        <f>INDEX(产销规划表!$B$5:$F$16,progress!D266+2,progress!C266)</f>
        <v>5</v>
      </c>
      <c r="I266" s="70" t="s">
        <v>3068</v>
      </c>
      <c r="J266" s="44">
        <v>625</v>
      </c>
    </row>
    <row r="267" spans="1:10" x14ac:dyDescent="0.15">
      <c r="A267" s="31">
        <v>1262</v>
      </c>
      <c r="B267" s="31" t="s">
        <v>1826</v>
      </c>
      <c r="C267" s="35">
        <f>INDEX(monster!$D$2:$D$700,MATCH(progress!A267,monster!$A$2:$A$700,0))</f>
        <v>4</v>
      </c>
      <c r="D267" s="35">
        <f>INDEX(monster!$E$2:$E$700,MATCH(progress!A267,monster!$A$2:$A$700,0))</f>
        <v>1</v>
      </c>
      <c r="E267" s="44">
        <f>INDEX(产销规划表!$G$5:$K$16,progress!D267+2,progress!C267)</f>
        <v>10000</v>
      </c>
      <c r="F267" s="44">
        <v>2</v>
      </c>
      <c r="G267" s="70" t="s">
        <v>2567</v>
      </c>
      <c r="H267" s="44">
        <f>INDEX(产销规划表!$B$5:$F$16,progress!D267+2,progress!C267)</f>
        <v>10</v>
      </c>
      <c r="I267" s="70" t="s">
        <v>3068</v>
      </c>
      <c r="J267" s="44">
        <v>1000</v>
      </c>
    </row>
    <row r="268" spans="1:10" x14ac:dyDescent="0.15">
      <c r="A268" s="31">
        <v>1263</v>
      </c>
      <c r="B268" s="31" t="s">
        <v>350</v>
      </c>
      <c r="C268" s="35">
        <f>INDEX(monster!$D$2:$D$700,MATCH(progress!A268,monster!$A$2:$A$700,0))</f>
        <v>4</v>
      </c>
      <c r="D268" s="35">
        <f>INDEX(monster!$E$2:$E$700,MATCH(progress!A268,monster!$A$2:$A$700,0))</f>
        <v>2</v>
      </c>
      <c r="E268" s="44">
        <f>INDEX(产销规划表!$G$5:$K$16,progress!D268+2,progress!C268)</f>
        <v>20000</v>
      </c>
      <c r="F268" s="44">
        <v>2</v>
      </c>
      <c r="G268" s="70" t="s">
        <v>2567</v>
      </c>
      <c r="H268" s="44">
        <f>INDEX(产销规划表!$B$5:$F$16,progress!D268+2,progress!C268)</f>
        <v>20</v>
      </c>
      <c r="I268" s="70" t="s">
        <v>3068</v>
      </c>
      <c r="J268" s="44">
        <v>1500</v>
      </c>
    </row>
    <row r="269" spans="1:10" x14ac:dyDescent="0.15">
      <c r="A269" s="31">
        <v>1264</v>
      </c>
      <c r="B269" s="31" t="s">
        <v>351</v>
      </c>
      <c r="C269" s="35">
        <f>INDEX(monster!$D$2:$D$700,MATCH(progress!A269,monster!$A$2:$A$700,0))</f>
        <v>4</v>
      </c>
      <c r="D269" s="35">
        <f>INDEX(monster!$E$2:$E$700,MATCH(progress!A269,monster!$A$2:$A$700,0))</f>
        <v>3</v>
      </c>
      <c r="E269" s="44">
        <f>INDEX(产销规划表!$G$5:$K$16,progress!D269+2,progress!C269)</f>
        <v>40000</v>
      </c>
      <c r="F269" s="44">
        <v>2</v>
      </c>
      <c r="G269" s="70" t="s">
        <v>2567</v>
      </c>
      <c r="H269" s="44">
        <f>INDEX(产销规划表!$B$5:$F$16,progress!D269+2,progress!C269)</f>
        <v>50</v>
      </c>
      <c r="I269" s="70" t="s">
        <v>3068</v>
      </c>
      <c r="J269" s="44">
        <v>2500</v>
      </c>
    </row>
    <row r="270" spans="1:10" x14ac:dyDescent="0.15">
      <c r="A270" s="31">
        <v>1265</v>
      </c>
      <c r="B270" s="31" t="s">
        <v>352</v>
      </c>
      <c r="C270" s="35">
        <f>INDEX(monster!$D$2:$D$700,MATCH(progress!A270,monster!$A$2:$A$700,0))</f>
        <v>4</v>
      </c>
      <c r="D270" s="35">
        <f>INDEX(monster!$E$2:$E$700,MATCH(progress!A270,monster!$A$2:$A$700,0))</f>
        <v>4</v>
      </c>
      <c r="E270" s="44">
        <f>INDEX(产销规划表!$G$5:$K$16,progress!D270+2,progress!C270)</f>
        <v>100000</v>
      </c>
      <c r="F270" s="44">
        <v>2</v>
      </c>
      <c r="G270" s="70" t="s">
        <v>2567</v>
      </c>
      <c r="H270" s="44">
        <f>INDEX(产销规划表!$B$5:$F$16,progress!D270+2,progress!C270)</f>
        <v>80</v>
      </c>
      <c r="I270" s="70" t="s">
        <v>3068</v>
      </c>
      <c r="J270" s="44">
        <v>3750</v>
      </c>
    </row>
    <row r="271" spans="1:10" x14ac:dyDescent="0.15">
      <c r="A271" s="31">
        <v>1266</v>
      </c>
      <c r="B271" s="31" t="s">
        <v>353</v>
      </c>
      <c r="C271" s="35">
        <f>INDEX(monster!$D$2:$D$700,MATCH(progress!A271,monster!$A$2:$A$700,0))</f>
        <v>4</v>
      </c>
      <c r="D271" s="35">
        <f>INDEX(monster!$E$2:$E$700,MATCH(progress!A271,monster!$A$2:$A$700,0))</f>
        <v>5</v>
      </c>
      <c r="E271" s="44">
        <f>INDEX(产销规划表!$G$5:$K$16,progress!D271+2,progress!C271)</f>
        <v>200000</v>
      </c>
      <c r="F271" s="44">
        <v>2</v>
      </c>
      <c r="G271" s="70" t="s">
        <v>2567</v>
      </c>
      <c r="H271" s="44">
        <f>INDEX(产销规划表!$B$5:$F$16,progress!D271+2,progress!C271)</f>
        <v>120</v>
      </c>
      <c r="I271" s="70" t="s">
        <v>3068</v>
      </c>
      <c r="J271" s="44">
        <v>6250</v>
      </c>
    </row>
    <row r="272" spans="1:10" x14ac:dyDescent="0.15">
      <c r="A272" s="31">
        <v>1267</v>
      </c>
      <c r="B272" s="31" t="s">
        <v>354</v>
      </c>
      <c r="C272" s="35">
        <f>INDEX(monster!$D$2:$D$700,MATCH(progress!A272,monster!$A$2:$A$700,0))</f>
        <v>4</v>
      </c>
      <c r="D272" s="35">
        <f>INDEX(monster!$E$2:$E$700,MATCH(progress!A272,monster!$A$2:$A$700,0))</f>
        <v>6</v>
      </c>
      <c r="E272" s="44">
        <f>INDEX(产销规划表!$G$5:$K$16,progress!D272+2,progress!C272)</f>
        <v>500000</v>
      </c>
      <c r="F272" s="44">
        <v>2</v>
      </c>
      <c r="G272" s="70" t="s">
        <v>2567</v>
      </c>
      <c r="H272" s="44">
        <f>INDEX(产销规划表!$B$5:$F$16,progress!D272+2,progress!C272)</f>
        <v>200</v>
      </c>
      <c r="I272" s="70" t="s">
        <v>3068</v>
      </c>
      <c r="J272" s="44">
        <v>10000</v>
      </c>
    </row>
    <row r="273" spans="1:10" x14ac:dyDescent="0.15">
      <c r="A273" s="31">
        <v>1268</v>
      </c>
      <c r="B273" s="31" t="s">
        <v>355</v>
      </c>
      <c r="C273" s="35">
        <f>INDEX(monster!$D$2:$D$700,MATCH(progress!A273,monster!$A$2:$A$700,0))</f>
        <v>4</v>
      </c>
      <c r="D273" s="35">
        <f>INDEX(monster!$E$2:$E$700,MATCH(progress!A273,monster!$A$2:$A$700,0))</f>
        <v>7</v>
      </c>
      <c r="E273" s="44">
        <f>INDEX(产销规划表!$G$5:$K$16,progress!D273+2,progress!C273)</f>
        <v>1000000</v>
      </c>
      <c r="F273" s="44">
        <v>2</v>
      </c>
      <c r="G273" s="70" t="s">
        <v>2567</v>
      </c>
      <c r="H273" s="44">
        <f>INDEX(产销规划表!$B$5:$F$16,progress!D273+2,progress!C273)</f>
        <v>350</v>
      </c>
      <c r="I273" s="70" t="s">
        <v>3068</v>
      </c>
      <c r="J273" s="44">
        <v>15000</v>
      </c>
    </row>
    <row r="274" spans="1:10" x14ac:dyDescent="0.15">
      <c r="A274" s="31">
        <v>1269</v>
      </c>
      <c r="B274" s="31" t="s">
        <v>356</v>
      </c>
      <c r="C274" s="35">
        <f>INDEX(monster!$D$2:$D$700,MATCH(progress!A274,monster!$A$2:$A$700,0))</f>
        <v>4</v>
      </c>
      <c r="D274" s="35">
        <f>INDEX(monster!$E$2:$E$700,MATCH(progress!A274,monster!$A$2:$A$700,0))</f>
        <v>8</v>
      </c>
      <c r="E274" s="44">
        <f>INDEX(产销规划表!$G$5:$K$16,progress!D274+2,progress!C274)</f>
        <v>2000000</v>
      </c>
      <c r="F274" s="44">
        <v>2</v>
      </c>
      <c r="G274" s="70" t="s">
        <v>2567</v>
      </c>
      <c r="H274" s="44">
        <f>INDEX(产销规划表!$B$5:$F$16,progress!D274+2,progress!C274)</f>
        <v>600</v>
      </c>
      <c r="I274" s="70" t="s">
        <v>3068</v>
      </c>
      <c r="J274" s="44">
        <v>22500</v>
      </c>
    </row>
    <row r="275" spans="1:10" x14ac:dyDescent="0.15">
      <c r="A275" s="31">
        <v>1270</v>
      </c>
      <c r="B275" s="31" t="s">
        <v>357</v>
      </c>
      <c r="C275" s="35">
        <f>INDEX(monster!$D$2:$D$700,MATCH(progress!A275,monster!$A$2:$A$700,0))</f>
        <v>4</v>
      </c>
      <c r="D275" s="35">
        <f>INDEX(monster!$E$2:$E$700,MATCH(progress!A275,monster!$A$2:$A$700,0))</f>
        <v>9</v>
      </c>
      <c r="E275" s="44">
        <f>INDEX(产销规划表!$G$5:$K$16,progress!D275+2,progress!C275)</f>
        <v>5000000</v>
      </c>
      <c r="F275" s="44">
        <v>2</v>
      </c>
      <c r="G275" s="70" t="s">
        <v>2567</v>
      </c>
      <c r="H275" s="44">
        <f>INDEX(产销规划表!$B$5:$F$16,progress!D275+2,progress!C275)</f>
        <v>1000</v>
      </c>
      <c r="I275" s="70" t="s">
        <v>3068</v>
      </c>
      <c r="J275" s="44">
        <v>35000</v>
      </c>
    </row>
    <row r="276" spans="1:10" x14ac:dyDescent="0.15">
      <c r="A276" s="31">
        <v>1271</v>
      </c>
      <c r="B276" s="31" t="s">
        <v>358</v>
      </c>
      <c r="C276" s="35">
        <f>INDEX(monster!$D$2:$D$700,MATCH(progress!A276,monster!$A$2:$A$700,0))</f>
        <v>4</v>
      </c>
      <c r="D276" s="35">
        <f>INDEX(monster!$E$2:$E$700,MATCH(progress!A276,monster!$A$2:$A$700,0))</f>
        <v>10</v>
      </c>
      <c r="E276" s="44">
        <f>INDEX(产销规划表!$G$5:$K$16,progress!D276+2,progress!C276)</f>
        <v>-1</v>
      </c>
      <c r="F276" s="44">
        <v>2</v>
      </c>
      <c r="G276" s="70" t="s">
        <v>2567</v>
      </c>
      <c r="H276" s="44">
        <f>INDEX(产销规划表!$B$5:$F$16,progress!D276+2,progress!C276)</f>
        <v>-1</v>
      </c>
      <c r="I276" s="70" t="s">
        <v>3068</v>
      </c>
      <c r="J276" s="44">
        <v>-1</v>
      </c>
    </row>
    <row r="277" spans="1:10" x14ac:dyDescent="0.15">
      <c r="A277" s="31">
        <v>1272</v>
      </c>
      <c r="B277" s="31" t="s">
        <v>1827</v>
      </c>
      <c r="C277" s="35">
        <f>INDEX(monster!$D$2:$D$700,MATCH(progress!A277,monster!$A$2:$A$700,0))</f>
        <v>3</v>
      </c>
      <c r="D277" s="35">
        <f>INDEX(monster!$E$2:$E$700,MATCH(progress!A277,monster!$A$2:$A$700,0))</f>
        <v>0</v>
      </c>
      <c r="E277" s="44">
        <f>INDEX(产销规划表!$G$5:$K$16,progress!D277+2,progress!C277)</f>
        <v>500</v>
      </c>
      <c r="F277" s="44">
        <v>2</v>
      </c>
      <c r="G277" s="70" t="s">
        <v>2568</v>
      </c>
      <c r="H277" s="44">
        <f>INDEX(产销规划表!$B$5:$F$16,progress!D277+2,progress!C277)</f>
        <v>5</v>
      </c>
      <c r="I277" s="70" t="s">
        <v>3068</v>
      </c>
      <c r="J277" s="44">
        <v>250</v>
      </c>
    </row>
    <row r="278" spans="1:10" x14ac:dyDescent="0.15">
      <c r="A278" s="31">
        <v>1273</v>
      </c>
      <c r="B278" s="31" t="s">
        <v>1828</v>
      </c>
      <c r="C278" s="35">
        <f>INDEX(monster!$D$2:$D$700,MATCH(progress!A278,monster!$A$2:$A$700,0))</f>
        <v>3</v>
      </c>
      <c r="D278" s="35">
        <f>INDEX(monster!$E$2:$E$700,MATCH(progress!A278,monster!$A$2:$A$700,0))</f>
        <v>1</v>
      </c>
      <c r="E278" s="44">
        <f>INDEX(产销规划表!$G$5:$K$16,progress!D278+2,progress!C278)</f>
        <v>1500</v>
      </c>
      <c r="F278" s="44">
        <v>2</v>
      </c>
      <c r="G278" s="70" t="s">
        <v>2568</v>
      </c>
      <c r="H278" s="44">
        <f>INDEX(产销规划表!$B$5:$F$16,progress!D278+2,progress!C278)</f>
        <v>10</v>
      </c>
      <c r="I278" s="70" t="s">
        <v>3068</v>
      </c>
      <c r="J278" s="44">
        <v>500</v>
      </c>
    </row>
    <row r="279" spans="1:10" x14ac:dyDescent="0.15">
      <c r="A279" s="31">
        <v>1274</v>
      </c>
      <c r="B279" s="31" t="s">
        <v>359</v>
      </c>
      <c r="C279" s="35">
        <f>INDEX(monster!$D$2:$D$700,MATCH(progress!A279,monster!$A$2:$A$700,0))</f>
        <v>3</v>
      </c>
      <c r="D279" s="35">
        <f>INDEX(monster!$E$2:$E$700,MATCH(progress!A279,monster!$A$2:$A$700,0))</f>
        <v>2</v>
      </c>
      <c r="E279" s="44">
        <f>INDEX(产销规划表!$G$5:$K$16,progress!D279+2,progress!C279)</f>
        <v>4000</v>
      </c>
      <c r="F279" s="44">
        <v>2</v>
      </c>
      <c r="G279" s="70" t="s">
        <v>2568</v>
      </c>
      <c r="H279" s="44">
        <f>INDEX(产销规划表!$B$5:$F$16,progress!D279+2,progress!C279)</f>
        <v>20</v>
      </c>
      <c r="I279" s="70" t="s">
        <v>3068</v>
      </c>
      <c r="J279" s="44">
        <v>750</v>
      </c>
    </row>
    <row r="280" spans="1:10" x14ac:dyDescent="0.15">
      <c r="A280" s="31">
        <v>1275</v>
      </c>
      <c r="B280" s="31" t="s">
        <v>360</v>
      </c>
      <c r="C280" s="35">
        <f>INDEX(monster!$D$2:$D$700,MATCH(progress!A280,monster!$A$2:$A$700,0))</f>
        <v>3</v>
      </c>
      <c r="D280" s="35">
        <f>INDEX(monster!$E$2:$E$700,MATCH(progress!A280,monster!$A$2:$A$700,0))</f>
        <v>3</v>
      </c>
      <c r="E280" s="44">
        <f>INDEX(产销规划表!$G$5:$K$16,progress!D280+2,progress!C280)</f>
        <v>10000</v>
      </c>
      <c r="F280" s="44">
        <v>2</v>
      </c>
      <c r="G280" s="70" t="s">
        <v>2568</v>
      </c>
      <c r="H280" s="44">
        <f>INDEX(产销规划表!$B$5:$F$16,progress!D280+2,progress!C280)</f>
        <v>50</v>
      </c>
      <c r="I280" s="70" t="s">
        <v>3068</v>
      </c>
      <c r="J280" s="44">
        <v>1250</v>
      </c>
    </row>
    <row r="281" spans="1:10" x14ac:dyDescent="0.15">
      <c r="A281" s="31">
        <v>1276</v>
      </c>
      <c r="B281" s="31" t="s">
        <v>361</v>
      </c>
      <c r="C281" s="35">
        <f>INDEX(monster!$D$2:$D$700,MATCH(progress!A281,monster!$A$2:$A$700,0))</f>
        <v>3</v>
      </c>
      <c r="D281" s="35">
        <f>INDEX(monster!$E$2:$E$700,MATCH(progress!A281,monster!$A$2:$A$700,0))</f>
        <v>4</v>
      </c>
      <c r="E281" s="44">
        <f>INDEX(产销规划表!$G$5:$K$16,progress!D281+2,progress!C281)</f>
        <v>20000</v>
      </c>
      <c r="F281" s="44">
        <v>2</v>
      </c>
      <c r="G281" s="70" t="s">
        <v>2568</v>
      </c>
      <c r="H281" s="44">
        <f>INDEX(产销规划表!$B$5:$F$16,progress!D281+2,progress!C281)</f>
        <v>80</v>
      </c>
      <c r="I281" s="70" t="s">
        <v>3068</v>
      </c>
      <c r="J281" s="44">
        <v>2000</v>
      </c>
    </row>
    <row r="282" spans="1:10" x14ac:dyDescent="0.15">
      <c r="A282" s="31">
        <v>1277</v>
      </c>
      <c r="B282" s="31" t="s">
        <v>362</v>
      </c>
      <c r="C282" s="35">
        <f>INDEX(monster!$D$2:$D$700,MATCH(progress!A282,monster!$A$2:$A$700,0))</f>
        <v>3</v>
      </c>
      <c r="D282" s="35">
        <f>INDEX(monster!$E$2:$E$700,MATCH(progress!A282,monster!$A$2:$A$700,0))</f>
        <v>5</v>
      </c>
      <c r="E282" s="44">
        <f>INDEX(产销规划表!$G$5:$K$16,progress!D282+2,progress!C282)</f>
        <v>40000</v>
      </c>
      <c r="F282" s="44">
        <v>2</v>
      </c>
      <c r="G282" s="70" t="s">
        <v>2568</v>
      </c>
      <c r="H282" s="44">
        <f>INDEX(产销规划表!$B$5:$F$16,progress!D282+2,progress!C282)</f>
        <v>120</v>
      </c>
      <c r="I282" s="70" t="s">
        <v>3068</v>
      </c>
      <c r="J282" s="44">
        <v>3250</v>
      </c>
    </row>
    <row r="283" spans="1:10" x14ac:dyDescent="0.15">
      <c r="A283" s="31">
        <v>1278</v>
      </c>
      <c r="B283" s="31" t="s">
        <v>363</v>
      </c>
      <c r="C283" s="35">
        <f>INDEX(monster!$D$2:$D$700,MATCH(progress!A283,monster!$A$2:$A$700,0))</f>
        <v>3</v>
      </c>
      <c r="D283" s="35">
        <f>INDEX(monster!$E$2:$E$700,MATCH(progress!A283,monster!$A$2:$A$700,0))</f>
        <v>6</v>
      </c>
      <c r="E283" s="44">
        <f>INDEX(产销规划表!$G$5:$K$16,progress!D283+2,progress!C283)</f>
        <v>100000</v>
      </c>
      <c r="F283" s="44">
        <v>2</v>
      </c>
      <c r="G283" s="70" t="s">
        <v>2568</v>
      </c>
      <c r="H283" s="44">
        <f>INDEX(产销规划表!$B$5:$F$16,progress!D283+2,progress!C283)</f>
        <v>200</v>
      </c>
      <c r="I283" s="70" t="s">
        <v>3068</v>
      </c>
      <c r="J283" s="44">
        <v>5000</v>
      </c>
    </row>
    <row r="284" spans="1:10" x14ac:dyDescent="0.15">
      <c r="A284" s="31">
        <v>1279</v>
      </c>
      <c r="B284" s="31" t="s">
        <v>364</v>
      </c>
      <c r="C284" s="35">
        <f>INDEX(monster!$D$2:$D$700,MATCH(progress!A284,monster!$A$2:$A$700,0))</f>
        <v>3</v>
      </c>
      <c r="D284" s="35">
        <f>INDEX(monster!$E$2:$E$700,MATCH(progress!A284,monster!$A$2:$A$700,0))</f>
        <v>7</v>
      </c>
      <c r="E284" s="44">
        <f>INDEX(产销规划表!$G$5:$K$16,progress!D284+2,progress!C284)</f>
        <v>200000</v>
      </c>
      <c r="F284" s="44">
        <v>2</v>
      </c>
      <c r="G284" s="70" t="s">
        <v>2568</v>
      </c>
      <c r="H284" s="44">
        <f>INDEX(产销规划表!$B$5:$F$16,progress!D284+2,progress!C284)</f>
        <v>350</v>
      </c>
      <c r="I284" s="70" t="s">
        <v>3068</v>
      </c>
      <c r="J284" s="44">
        <v>7500</v>
      </c>
    </row>
    <row r="285" spans="1:10" x14ac:dyDescent="0.15">
      <c r="A285" s="31">
        <v>1280</v>
      </c>
      <c r="B285" s="31" t="s">
        <v>365</v>
      </c>
      <c r="C285" s="35">
        <f>INDEX(monster!$D$2:$D$700,MATCH(progress!A285,monster!$A$2:$A$700,0))</f>
        <v>3</v>
      </c>
      <c r="D285" s="35">
        <f>INDEX(monster!$E$2:$E$700,MATCH(progress!A285,monster!$A$2:$A$700,0))</f>
        <v>8</v>
      </c>
      <c r="E285" s="44">
        <f>INDEX(产销规划表!$G$5:$K$16,progress!D285+2,progress!C285)</f>
        <v>500000</v>
      </c>
      <c r="F285" s="44">
        <v>2</v>
      </c>
      <c r="G285" s="70" t="s">
        <v>2568</v>
      </c>
      <c r="H285" s="44">
        <f>INDEX(产销规划表!$B$5:$F$16,progress!D285+2,progress!C285)</f>
        <v>600</v>
      </c>
      <c r="I285" s="70" t="s">
        <v>3068</v>
      </c>
      <c r="J285" s="44">
        <v>11250</v>
      </c>
    </row>
    <row r="286" spans="1:10" x14ac:dyDescent="0.15">
      <c r="A286" s="31">
        <v>1281</v>
      </c>
      <c r="B286" s="31" t="s">
        <v>366</v>
      </c>
      <c r="C286" s="35">
        <f>INDEX(monster!$D$2:$D$700,MATCH(progress!A286,monster!$A$2:$A$700,0))</f>
        <v>3</v>
      </c>
      <c r="D286" s="35">
        <f>INDEX(monster!$E$2:$E$700,MATCH(progress!A286,monster!$A$2:$A$700,0))</f>
        <v>9</v>
      </c>
      <c r="E286" s="44">
        <f>INDEX(产销规划表!$G$5:$K$16,progress!D286+2,progress!C286)</f>
        <v>1000000</v>
      </c>
      <c r="F286" s="44">
        <v>2</v>
      </c>
      <c r="G286" s="70" t="s">
        <v>2568</v>
      </c>
      <c r="H286" s="44">
        <f>INDEX(产销规划表!$B$5:$F$16,progress!D286+2,progress!C286)</f>
        <v>1000</v>
      </c>
      <c r="I286" s="70" t="s">
        <v>3068</v>
      </c>
      <c r="J286" s="44">
        <v>18000</v>
      </c>
    </row>
    <row r="287" spans="1:10" x14ac:dyDescent="0.15">
      <c r="A287" s="31">
        <v>1282</v>
      </c>
      <c r="B287" s="31" t="s">
        <v>367</v>
      </c>
      <c r="C287" s="35">
        <f>INDEX(monster!$D$2:$D$700,MATCH(progress!A287,monster!$A$2:$A$700,0))</f>
        <v>3</v>
      </c>
      <c r="D287" s="35">
        <f>INDEX(monster!$E$2:$E$700,MATCH(progress!A287,monster!$A$2:$A$700,0))</f>
        <v>10</v>
      </c>
      <c r="E287" s="44">
        <f>INDEX(产销规划表!$G$5:$K$16,progress!D287+2,progress!C287)</f>
        <v>-1</v>
      </c>
      <c r="F287" s="44">
        <v>2</v>
      </c>
      <c r="G287" s="70" t="s">
        <v>2568</v>
      </c>
      <c r="H287" s="44">
        <f>INDEX(产销规划表!$B$5:$F$16,progress!D287+2,progress!C287)</f>
        <v>-1</v>
      </c>
      <c r="I287" s="70" t="s">
        <v>3068</v>
      </c>
      <c r="J287" s="44">
        <v>-1</v>
      </c>
    </row>
    <row r="288" spans="1:10" x14ac:dyDescent="0.15">
      <c r="A288" s="31">
        <v>1294</v>
      </c>
      <c r="B288" s="31" t="s">
        <v>1829</v>
      </c>
      <c r="C288" s="35">
        <f>INDEX(monster!$D$2:$D$700,MATCH(progress!A288,monster!$A$2:$A$700,0))</f>
        <v>4</v>
      </c>
      <c r="D288" s="35">
        <f>INDEX(monster!$E$2:$E$700,MATCH(progress!A288,monster!$A$2:$A$700,0))</f>
        <v>0</v>
      </c>
      <c r="E288" s="44">
        <f>INDEX(产销规划表!$G$5:$K$16,progress!D288+2,progress!C288)</f>
        <v>4000</v>
      </c>
      <c r="F288" s="44">
        <v>2</v>
      </c>
      <c r="G288" s="70" t="s">
        <v>2569</v>
      </c>
      <c r="H288" s="44">
        <f>INDEX(产销规划表!$B$5:$F$16,progress!D288+2,progress!C288)</f>
        <v>5</v>
      </c>
      <c r="I288" s="70" t="s">
        <v>3068</v>
      </c>
      <c r="J288" s="44">
        <v>625</v>
      </c>
    </row>
    <row r="289" spans="1:10" x14ac:dyDescent="0.15">
      <c r="A289" s="31">
        <v>1295</v>
      </c>
      <c r="B289" s="31" t="s">
        <v>1830</v>
      </c>
      <c r="C289" s="35">
        <f>INDEX(monster!$D$2:$D$700,MATCH(progress!A289,monster!$A$2:$A$700,0))</f>
        <v>4</v>
      </c>
      <c r="D289" s="35">
        <f>INDEX(monster!$E$2:$E$700,MATCH(progress!A289,monster!$A$2:$A$700,0))</f>
        <v>1</v>
      </c>
      <c r="E289" s="44">
        <f>INDEX(产销规划表!$G$5:$K$16,progress!D289+2,progress!C289)</f>
        <v>10000</v>
      </c>
      <c r="F289" s="44">
        <v>2</v>
      </c>
      <c r="G289" s="70" t="s">
        <v>2569</v>
      </c>
      <c r="H289" s="44">
        <f>INDEX(产销规划表!$B$5:$F$16,progress!D289+2,progress!C289)</f>
        <v>10</v>
      </c>
      <c r="I289" s="70" t="s">
        <v>3068</v>
      </c>
      <c r="J289" s="44">
        <v>1000</v>
      </c>
    </row>
    <row r="290" spans="1:10" x14ac:dyDescent="0.15">
      <c r="A290" s="31">
        <v>1296</v>
      </c>
      <c r="B290" s="31" t="s">
        <v>1831</v>
      </c>
      <c r="C290" s="35">
        <f>INDEX(monster!$D$2:$D$700,MATCH(progress!A290,monster!$A$2:$A$700,0))</f>
        <v>4</v>
      </c>
      <c r="D290" s="35">
        <f>INDEX(monster!$E$2:$E$700,MATCH(progress!A290,monster!$A$2:$A$700,0))</f>
        <v>2</v>
      </c>
      <c r="E290" s="44">
        <f>INDEX(产销规划表!$G$5:$K$16,progress!D290+2,progress!C290)</f>
        <v>20000</v>
      </c>
      <c r="F290" s="44">
        <v>2</v>
      </c>
      <c r="G290" s="70" t="s">
        <v>2569</v>
      </c>
      <c r="H290" s="44">
        <f>INDEX(产销规划表!$B$5:$F$16,progress!D290+2,progress!C290)</f>
        <v>20</v>
      </c>
      <c r="I290" s="70" t="s">
        <v>3068</v>
      </c>
      <c r="J290" s="44">
        <v>1500</v>
      </c>
    </row>
    <row r="291" spans="1:10" x14ac:dyDescent="0.15">
      <c r="A291" s="31">
        <v>1297</v>
      </c>
      <c r="B291" s="31" t="s">
        <v>1832</v>
      </c>
      <c r="C291" s="35">
        <f>INDEX(monster!$D$2:$D$700,MATCH(progress!A291,monster!$A$2:$A$700,0))</f>
        <v>4</v>
      </c>
      <c r="D291" s="35">
        <f>INDEX(monster!$E$2:$E$700,MATCH(progress!A291,monster!$A$2:$A$700,0))</f>
        <v>3</v>
      </c>
      <c r="E291" s="44">
        <f>INDEX(产销规划表!$G$5:$K$16,progress!D291+2,progress!C291)</f>
        <v>40000</v>
      </c>
      <c r="F291" s="44">
        <v>2</v>
      </c>
      <c r="G291" s="70" t="s">
        <v>2569</v>
      </c>
      <c r="H291" s="44">
        <f>INDEX(产销规划表!$B$5:$F$16,progress!D291+2,progress!C291)</f>
        <v>50</v>
      </c>
      <c r="I291" s="70" t="s">
        <v>3068</v>
      </c>
      <c r="J291" s="44">
        <v>2500</v>
      </c>
    </row>
    <row r="292" spans="1:10" x14ac:dyDescent="0.15">
      <c r="A292" s="31">
        <v>1298</v>
      </c>
      <c r="B292" s="31" t="s">
        <v>1833</v>
      </c>
      <c r="C292" s="35">
        <f>INDEX(monster!$D$2:$D$700,MATCH(progress!A292,monster!$A$2:$A$700,0))</f>
        <v>4</v>
      </c>
      <c r="D292" s="35">
        <f>INDEX(monster!$E$2:$E$700,MATCH(progress!A292,monster!$A$2:$A$700,0))</f>
        <v>4</v>
      </c>
      <c r="E292" s="44">
        <f>INDEX(产销规划表!$G$5:$K$16,progress!D292+2,progress!C292)</f>
        <v>100000</v>
      </c>
      <c r="F292" s="44">
        <v>2</v>
      </c>
      <c r="G292" s="70" t="s">
        <v>2569</v>
      </c>
      <c r="H292" s="44">
        <f>INDEX(产销规划表!$B$5:$F$16,progress!D292+2,progress!C292)</f>
        <v>80</v>
      </c>
      <c r="I292" s="70" t="s">
        <v>3068</v>
      </c>
      <c r="J292" s="44">
        <v>3750</v>
      </c>
    </row>
    <row r="293" spans="1:10" x14ac:dyDescent="0.15">
      <c r="A293" s="31">
        <v>1299</v>
      </c>
      <c r="B293" s="31" t="s">
        <v>1834</v>
      </c>
      <c r="C293" s="35">
        <f>INDEX(monster!$D$2:$D$700,MATCH(progress!A293,monster!$A$2:$A$700,0))</f>
        <v>4</v>
      </c>
      <c r="D293" s="35">
        <f>INDEX(monster!$E$2:$E$700,MATCH(progress!A293,monster!$A$2:$A$700,0))</f>
        <v>5</v>
      </c>
      <c r="E293" s="44">
        <f>INDEX(产销规划表!$G$5:$K$16,progress!D293+2,progress!C293)</f>
        <v>200000</v>
      </c>
      <c r="F293" s="44">
        <v>2</v>
      </c>
      <c r="G293" s="70" t="s">
        <v>2569</v>
      </c>
      <c r="H293" s="44">
        <f>INDEX(产销规划表!$B$5:$F$16,progress!D293+2,progress!C293)</f>
        <v>120</v>
      </c>
      <c r="I293" s="70" t="s">
        <v>3068</v>
      </c>
      <c r="J293" s="44">
        <v>6250</v>
      </c>
    </row>
    <row r="294" spans="1:10" x14ac:dyDescent="0.15">
      <c r="A294" s="31">
        <v>1300</v>
      </c>
      <c r="B294" s="31" t="s">
        <v>1835</v>
      </c>
      <c r="C294" s="35">
        <f>INDEX(monster!$D$2:$D$700,MATCH(progress!A294,monster!$A$2:$A$700,0))</f>
        <v>4</v>
      </c>
      <c r="D294" s="35">
        <f>INDEX(monster!$E$2:$E$700,MATCH(progress!A294,monster!$A$2:$A$700,0))</f>
        <v>6</v>
      </c>
      <c r="E294" s="44">
        <f>INDEX(产销规划表!$G$5:$K$16,progress!D294+2,progress!C294)</f>
        <v>500000</v>
      </c>
      <c r="F294" s="44">
        <v>2</v>
      </c>
      <c r="G294" s="70" t="s">
        <v>2569</v>
      </c>
      <c r="H294" s="44">
        <f>INDEX(产销规划表!$B$5:$F$16,progress!D294+2,progress!C294)</f>
        <v>200</v>
      </c>
      <c r="I294" s="70" t="s">
        <v>3068</v>
      </c>
      <c r="J294" s="44">
        <v>10000</v>
      </c>
    </row>
    <row r="295" spans="1:10" x14ac:dyDescent="0.15">
      <c r="A295" s="31">
        <v>1301</v>
      </c>
      <c r="B295" s="31" t="s">
        <v>1836</v>
      </c>
      <c r="C295" s="35">
        <f>INDEX(monster!$D$2:$D$700,MATCH(progress!A295,monster!$A$2:$A$700,0))</f>
        <v>4</v>
      </c>
      <c r="D295" s="35">
        <f>INDEX(monster!$E$2:$E$700,MATCH(progress!A295,monster!$A$2:$A$700,0))</f>
        <v>7</v>
      </c>
      <c r="E295" s="44">
        <f>INDEX(产销规划表!$G$5:$K$16,progress!D295+2,progress!C295)</f>
        <v>1000000</v>
      </c>
      <c r="F295" s="44">
        <v>2</v>
      </c>
      <c r="G295" s="70" t="s">
        <v>2569</v>
      </c>
      <c r="H295" s="44">
        <f>INDEX(产销规划表!$B$5:$F$16,progress!D295+2,progress!C295)</f>
        <v>350</v>
      </c>
      <c r="I295" s="70" t="s">
        <v>3068</v>
      </c>
      <c r="J295" s="44">
        <v>15000</v>
      </c>
    </row>
    <row r="296" spans="1:10" x14ac:dyDescent="0.15">
      <c r="A296" s="31">
        <v>1302</v>
      </c>
      <c r="B296" s="31" t="s">
        <v>1837</v>
      </c>
      <c r="C296" s="35">
        <f>INDEX(monster!$D$2:$D$700,MATCH(progress!A296,monster!$A$2:$A$700,0))</f>
        <v>4</v>
      </c>
      <c r="D296" s="35">
        <f>INDEX(monster!$E$2:$E$700,MATCH(progress!A296,monster!$A$2:$A$700,0))</f>
        <v>8</v>
      </c>
      <c r="E296" s="44">
        <f>INDEX(产销规划表!$G$5:$K$16,progress!D296+2,progress!C296)</f>
        <v>2000000</v>
      </c>
      <c r="F296" s="44">
        <v>2</v>
      </c>
      <c r="G296" s="70" t="s">
        <v>2569</v>
      </c>
      <c r="H296" s="44">
        <f>INDEX(产销规划表!$B$5:$F$16,progress!D296+2,progress!C296)</f>
        <v>600</v>
      </c>
      <c r="I296" s="70" t="s">
        <v>3068</v>
      </c>
      <c r="J296" s="44">
        <v>22500</v>
      </c>
    </row>
    <row r="297" spans="1:10" x14ac:dyDescent="0.15">
      <c r="A297" s="31">
        <v>1303</v>
      </c>
      <c r="B297" s="31" t="s">
        <v>1838</v>
      </c>
      <c r="C297" s="35">
        <f>INDEX(monster!$D$2:$D$700,MATCH(progress!A297,monster!$A$2:$A$700,0))</f>
        <v>4</v>
      </c>
      <c r="D297" s="35">
        <f>INDEX(monster!$E$2:$E$700,MATCH(progress!A297,monster!$A$2:$A$700,0))</f>
        <v>9</v>
      </c>
      <c r="E297" s="44">
        <f>INDEX(产销规划表!$G$5:$K$16,progress!D297+2,progress!C297)</f>
        <v>5000000</v>
      </c>
      <c r="F297" s="44">
        <v>2</v>
      </c>
      <c r="G297" s="70" t="s">
        <v>2569</v>
      </c>
      <c r="H297" s="44">
        <f>INDEX(产销规划表!$B$5:$F$16,progress!D297+2,progress!C297)</f>
        <v>1000</v>
      </c>
      <c r="I297" s="70" t="s">
        <v>3068</v>
      </c>
      <c r="J297" s="44">
        <v>35000</v>
      </c>
    </row>
    <row r="298" spans="1:10" x14ac:dyDescent="0.15">
      <c r="A298" s="31">
        <v>1304</v>
      </c>
      <c r="B298" s="31" t="s">
        <v>1839</v>
      </c>
      <c r="C298" s="35">
        <f>INDEX(monster!$D$2:$D$700,MATCH(progress!A298,monster!$A$2:$A$700,0))</f>
        <v>4</v>
      </c>
      <c r="D298" s="35">
        <f>INDEX(monster!$E$2:$E$700,MATCH(progress!A298,monster!$A$2:$A$700,0))</f>
        <v>10</v>
      </c>
      <c r="E298" s="44">
        <f>INDEX(产销规划表!$G$5:$K$16,progress!D298+2,progress!C298)</f>
        <v>-1</v>
      </c>
      <c r="F298" s="44">
        <v>2</v>
      </c>
      <c r="G298" s="70" t="s">
        <v>2569</v>
      </c>
      <c r="H298" s="44">
        <f>INDEX(产销规划表!$B$5:$F$16,progress!D298+2,progress!C298)</f>
        <v>-1</v>
      </c>
      <c r="I298" s="70" t="s">
        <v>3068</v>
      </c>
      <c r="J298" s="44">
        <v>-1</v>
      </c>
    </row>
    <row r="299" spans="1:10" x14ac:dyDescent="0.15">
      <c r="A299" s="31">
        <v>1305</v>
      </c>
      <c r="B299" s="31" t="s">
        <v>1840</v>
      </c>
      <c r="C299" s="35">
        <f>INDEX(monster!$D$2:$D$700,MATCH(progress!A299,monster!$A$2:$A$700,0))</f>
        <v>4</v>
      </c>
      <c r="D299" s="35">
        <f>INDEX(monster!$E$2:$E$700,MATCH(progress!A299,monster!$A$2:$A$700,0))</f>
        <v>0</v>
      </c>
      <c r="E299" s="44">
        <f>INDEX(产销规划表!$G$5:$K$16,progress!D299+2,progress!C299)</f>
        <v>4000</v>
      </c>
      <c r="F299" s="44">
        <v>2</v>
      </c>
      <c r="G299" s="70" t="s">
        <v>2570</v>
      </c>
      <c r="H299" s="44">
        <f>INDEX(产销规划表!$B$5:$F$16,progress!D299+2,progress!C299)</f>
        <v>5</v>
      </c>
      <c r="I299" s="70" t="s">
        <v>3068</v>
      </c>
      <c r="J299" s="44">
        <v>625</v>
      </c>
    </row>
    <row r="300" spans="1:10" x14ac:dyDescent="0.15">
      <c r="A300" s="31">
        <v>1306</v>
      </c>
      <c r="B300" s="31" t="s">
        <v>1841</v>
      </c>
      <c r="C300" s="35">
        <f>INDEX(monster!$D$2:$D$700,MATCH(progress!A300,monster!$A$2:$A$700,0))</f>
        <v>4</v>
      </c>
      <c r="D300" s="35">
        <f>INDEX(monster!$E$2:$E$700,MATCH(progress!A300,monster!$A$2:$A$700,0))</f>
        <v>1</v>
      </c>
      <c r="E300" s="44">
        <f>INDEX(产销规划表!$G$5:$K$16,progress!D300+2,progress!C300)</f>
        <v>10000</v>
      </c>
      <c r="F300" s="44">
        <v>2</v>
      </c>
      <c r="G300" s="70" t="s">
        <v>2570</v>
      </c>
      <c r="H300" s="44">
        <f>INDEX(产销规划表!$B$5:$F$16,progress!D300+2,progress!C300)</f>
        <v>10</v>
      </c>
      <c r="I300" s="70" t="s">
        <v>3068</v>
      </c>
      <c r="J300" s="44">
        <v>1000</v>
      </c>
    </row>
    <row r="301" spans="1:10" x14ac:dyDescent="0.15">
      <c r="A301" s="31">
        <v>1307</v>
      </c>
      <c r="B301" s="31" t="s">
        <v>377</v>
      </c>
      <c r="C301" s="35">
        <f>INDEX(monster!$D$2:$D$700,MATCH(progress!A301,monster!$A$2:$A$700,0))</f>
        <v>4</v>
      </c>
      <c r="D301" s="35">
        <f>INDEX(monster!$E$2:$E$700,MATCH(progress!A301,monster!$A$2:$A$700,0))</f>
        <v>2</v>
      </c>
      <c r="E301" s="44">
        <f>INDEX(产销规划表!$G$5:$K$16,progress!D301+2,progress!C301)</f>
        <v>20000</v>
      </c>
      <c r="F301" s="44">
        <v>2</v>
      </c>
      <c r="G301" s="70" t="s">
        <v>2570</v>
      </c>
      <c r="H301" s="44">
        <f>INDEX(产销规划表!$B$5:$F$16,progress!D301+2,progress!C301)</f>
        <v>20</v>
      </c>
      <c r="I301" s="70" t="s">
        <v>3068</v>
      </c>
      <c r="J301" s="44">
        <v>1500</v>
      </c>
    </row>
    <row r="302" spans="1:10" x14ac:dyDescent="0.15">
      <c r="A302" s="31">
        <v>1308</v>
      </c>
      <c r="B302" s="31" t="s">
        <v>378</v>
      </c>
      <c r="C302" s="35">
        <f>INDEX(monster!$D$2:$D$700,MATCH(progress!A302,monster!$A$2:$A$700,0))</f>
        <v>4</v>
      </c>
      <c r="D302" s="35">
        <f>INDEX(monster!$E$2:$E$700,MATCH(progress!A302,monster!$A$2:$A$700,0))</f>
        <v>3</v>
      </c>
      <c r="E302" s="44">
        <f>INDEX(产销规划表!$G$5:$K$16,progress!D302+2,progress!C302)</f>
        <v>40000</v>
      </c>
      <c r="F302" s="44">
        <v>2</v>
      </c>
      <c r="G302" s="70" t="s">
        <v>2570</v>
      </c>
      <c r="H302" s="44">
        <f>INDEX(产销规划表!$B$5:$F$16,progress!D302+2,progress!C302)</f>
        <v>50</v>
      </c>
      <c r="I302" s="70" t="s">
        <v>3068</v>
      </c>
      <c r="J302" s="44">
        <v>2500</v>
      </c>
    </row>
    <row r="303" spans="1:10" x14ac:dyDescent="0.15">
      <c r="A303" s="31">
        <v>1309</v>
      </c>
      <c r="B303" s="31" t="s">
        <v>379</v>
      </c>
      <c r="C303" s="35">
        <f>INDEX(monster!$D$2:$D$700,MATCH(progress!A303,monster!$A$2:$A$700,0))</f>
        <v>4</v>
      </c>
      <c r="D303" s="35">
        <f>INDEX(monster!$E$2:$E$700,MATCH(progress!A303,monster!$A$2:$A$700,0))</f>
        <v>4</v>
      </c>
      <c r="E303" s="44">
        <f>INDEX(产销规划表!$G$5:$K$16,progress!D303+2,progress!C303)</f>
        <v>100000</v>
      </c>
      <c r="F303" s="44">
        <v>2</v>
      </c>
      <c r="G303" s="70" t="s">
        <v>2570</v>
      </c>
      <c r="H303" s="44">
        <f>INDEX(产销规划表!$B$5:$F$16,progress!D303+2,progress!C303)</f>
        <v>80</v>
      </c>
      <c r="I303" s="70" t="s">
        <v>3068</v>
      </c>
      <c r="J303" s="44">
        <v>3750</v>
      </c>
    </row>
    <row r="304" spans="1:10" x14ac:dyDescent="0.15">
      <c r="A304" s="31">
        <v>1310</v>
      </c>
      <c r="B304" s="31" t="s">
        <v>380</v>
      </c>
      <c r="C304" s="35">
        <f>INDEX(monster!$D$2:$D$700,MATCH(progress!A304,monster!$A$2:$A$700,0))</f>
        <v>4</v>
      </c>
      <c r="D304" s="35">
        <f>INDEX(monster!$E$2:$E$700,MATCH(progress!A304,monster!$A$2:$A$700,0))</f>
        <v>5</v>
      </c>
      <c r="E304" s="44">
        <f>INDEX(产销规划表!$G$5:$K$16,progress!D304+2,progress!C304)</f>
        <v>200000</v>
      </c>
      <c r="F304" s="44">
        <v>2</v>
      </c>
      <c r="G304" s="70" t="s">
        <v>2570</v>
      </c>
      <c r="H304" s="44">
        <f>INDEX(产销规划表!$B$5:$F$16,progress!D304+2,progress!C304)</f>
        <v>120</v>
      </c>
      <c r="I304" s="70" t="s">
        <v>3068</v>
      </c>
      <c r="J304" s="44">
        <v>6250</v>
      </c>
    </row>
    <row r="305" spans="1:10" x14ac:dyDescent="0.15">
      <c r="A305" s="31">
        <v>1311</v>
      </c>
      <c r="B305" s="31" t="s">
        <v>381</v>
      </c>
      <c r="C305" s="35">
        <f>INDEX(monster!$D$2:$D$700,MATCH(progress!A305,monster!$A$2:$A$700,0))</f>
        <v>4</v>
      </c>
      <c r="D305" s="35">
        <f>INDEX(monster!$E$2:$E$700,MATCH(progress!A305,monster!$A$2:$A$700,0))</f>
        <v>6</v>
      </c>
      <c r="E305" s="44">
        <f>INDEX(产销规划表!$G$5:$K$16,progress!D305+2,progress!C305)</f>
        <v>500000</v>
      </c>
      <c r="F305" s="44">
        <v>2</v>
      </c>
      <c r="G305" s="70" t="s">
        <v>2570</v>
      </c>
      <c r="H305" s="44">
        <f>INDEX(产销规划表!$B$5:$F$16,progress!D305+2,progress!C305)</f>
        <v>200</v>
      </c>
      <c r="I305" s="70" t="s">
        <v>3068</v>
      </c>
      <c r="J305" s="44">
        <v>10000</v>
      </c>
    </row>
    <row r="306" spans="1:10" x14ac:dyDescent="0.15">
      <c r="A306" s="31">
        <v>1312</v>
      </c>
      <c r="B306" s="31" t="s">
        <v>382</v>
      </c>
      <c r="C306" s="35">
        <f>INDEX(monster!$D$2:$D$700,MATCH(progress!A306,monster!$A$2:$A$700,0))</f>
        <v>4</v>
      </c>
      <c r="D306" s="35">
        <f>INDEX(monster!$E$2:$E$700,MATCH(progress!A306,monster!$A$2:$A$700,0))</f>
        <v>7</v>
      </c>
      <c r="E306" s="44">
        <f>INDEX(产销规划表!$G$5:$K$16,progress!D306+2,progress!C306)</f>
        <v>1000000</v>
      </c>
      <c r="F306" s="44">
        <v>2</v>
      </c>
      <c r="G306" s="70" t="s">
        <v>2570</v>
      </c>
      <c r="H306" s="44">
        <f>INDEX(产销规划表!$B$5:$F$16,progress!D306+2,progress!C306)</f>
        <v>350</v>
      </c>
      <c r="I306" s="70" t="s">
        <v>3068</v>
      </c>
      <c r="J306" s="44">
        <v>15000</v>
      </c>
    </row>
    <row r="307" spans="1:10" x14ac:dyDescent="0.15">
      <c r="A307" s="31">
        <v>1313</v>
      </c>
      <c r="B307" s="31" t="s">
        <v>383</v>
      </c>
      <c r="C307" s="35">
        <f>INDEX(monster!$D$2:$D$700,MATCH(progress!A307,monster!$A$2:$A$700,0))</f>
        <v>4</v>
      </c>
      <c r="D307" s="35">
        <f>INDEX(monster!$E$2:$E$700,MATCH(progress!A307,monster!$A$2:$A$700,0))</f>
        <v>8</v>
      </c>
      <c r="E307" s="44">
        <f>INDEX(产销规划表!$G$5:$K$16,progress!D307+2,progress!C307)</f>
        <v>2000000</v>
      </c>
      <c r="F307" s="44">
        <v>2</v>
      </c>
      <c r="G307" s="70" t="s">
        <v>2570</v>
      </c>
      <c r="H307" s="44">
        <f>INDEX(产销规划表!$B$5:$F$16,progress!D307+2,progress!C307)</f>
        <v>600</v>
      </c>
      <c r="I307" s="70" t="s">
        <v>3068</v>
      </c>
      <c r="J307" s="44">
        <v>22500</v>
      </c>
    </row>
    <row r="308" spans="1:10" x14ac:dyDescent="0.15">
      <c r="A308" s="31">
        <v>1314</v>
      </c>
      <c r="B308" s="31" t="s">
        <v>384</v>
      </c>
      <c r="C308" s="35">
        <f>INDEX(monster!$D$2:$D$700,MATCH(progress!A308,monster!$A$2:$A$700,0))</f>
        <v>4</v>
      </c>
      <c r="D308" s="35">
        <f>INDEX(monster!$E$2:$E$700,MATCH(progress!A308,monster!$A$2:$A$700,0))</f>
        <v>9</v>
      </c>
      <c r="E308" s="44">
        <f>INDEX(产销规划表!$G$5:$K$16,progress!D308+2,progress!C308)</f>
        <v>5000000</v>
      </c>
      <c r="F308" s="44">
        <v>2</v>
      </c>
      <c r="G308" s="70" t="s">
        <v>2570</v>
      </c>
      <c r="H308" s="44">
        <f>INDEX(产销规划表!$B$5:$F$16,progress!D308+2,progress!C308)</f>
        <v>1000</v>
      </c>
      <c r="I308" s="70" t="s">
        <v>3068</v>
      </c>
      <c r="J308" s="44">
        <v>35000</v>
      </c>
    </row>
    <row r="309" spans="1:10" x14ac:dyDescent="0.15">
      <c r="A309" s="31">
        <v>1315</v>
      </c>
      <c r="B309" s="31" t="s">
        <v>385</v>
      </c>
      <c r="C309" s="35">
        <f>INDEX(monster!$D$2:$D$700,MATCH(progress!A309,monster!$A$2:$A$700,0))</f>
        <v>4</v>
      </c>
      <c r="D309" s="35">
        <f>INDEX(monster!$E$2:$E$700,MATCH(progress!A309,monster!$A$2:$A$700,0))</f>
        <v>10</v>
      </c>
      <c r="E309" s="44">
        <f>INDEX(产销规划表!$G$5:$K$16,progress!D309+2,progress!C309)</f>
        <v>-1</v>
      </c>
      <c r="F309" s="44">
        <v>2</v>
      </c>
      <c r="G309" s="70" t="s">
        <v>2570</v>
      </c>
      <c r="H309" s="44">
        <f>INDEX(产销规划表!$B$5:$F$16,progress!D309+2,progress!C309)</f>
        <v>-1</v>
      </c>
      <c r="I309" s="70" t="s">
        <v>3068</v>
      </c>
      <c r="J309" s="44">
        <v>-1</v>
      </c>
    </row>
    <row r="310" spans="1:10" x14ac:dyDescent="0.15">
      <c r="A310" s="31">
        <v>1327</v>
      </c>
      <c r="B310" s="31" t="s">
        <v>1842</v>
      </c>
      <c r="C310" s="35">
        <f>INDEX(monster!$D$2:$D$700,MATCH(progress!A310,monster!$A$2:$A$700,0))</f>
        <v>4</v>
      </c>
      <c r="D310" s="35">
        <f>INDEX(monster!$E$2:$E$700,MATCH(progress!A310,monster!$A$2:$A$700,0))</f>
        <v>0</v>
      </c>
      <c r="E310" s="44">
        <f>INDEX(产销规划表!$G$5:$K$16,progress!D310+2,progress!C310)</f>
        <v>4000</v>
      </c>
      <c r="F310" s="44">
        <v>2</v>
      </c>
      <c r="G310" s="70" t="s">
        <v>2571</v>
      </c>
      <c r="H310" s="44">
        <f>INDEX(产销规划表!$B$5:$F$16,progress!D310+2,progress!C310)</f>
        <v>5</v>
      </c>
      <c r="I310" s="70" t="s">
        <v>3068</v>
      </c>
      <c r="J310" s="44">
        <v>625</v>
      </c>
    </row>
    <row r="311" spans="1:10" x14ac:dyDescent="0.15">
      <c r="A311" s="31">
        <v>1328</v>
      </c>
      <c r="B311" s="31" t="s">
        <v>1843</v>
      </c>
      <c r="C311" s="35">
        <f>INDEX(monster!$D$2:$D$700,MATCH(progress!A311,monster!$A$2:$A$700,0))</f>
        <v>4</v>
      </c>
      <c r="D311" s="35">
        <f>INDEX(monster!$E$2:$E$700,MATCH(progress!A311,monster!$A$2:$A$700,0))</f>
        <v>1</v>
      </c>
      <c r="E311" s="44">
        <f>INDEX(产销规划表!$G$5:$K$16,progress!D311+2,progress!C311)</f>
        <v>10000</v>
      </c>
      <c r="F311" s="44">
        <v>2</v>
      </c>
      <c r="G311" s="70" t="s">
        <v>2571</v>
      </c>
      <c r="H311" s="44">
        <f>INDEX(产销规划表!$B$5:$F$16,progress!D311+2,progress!C311)</f>
        <v>10</v>
      </c>
      <c r="I311" s="70" t="s">
        <v>3068</v>
      </c>
      <c r="J311" s="44">
        <v>1000</v>
      </c>
    </row>
    <row r="312" spans="1:10" x14ac:dyDescent="0.15">
      <c r="A312" s="31">
        <v>1329</v>
      </c>
      <c r="B312" s="31" t="s">
        <v>1844</v>
      </c>
      <c r="C312" s="35">
        <f>INDEX(monster!$D$2:$D$700,MATCH(progress!A312,monster!$A$2:$A$700,0))</f>
        <v>4</v>
      </c>
      <c r="D312" s="35">
        <f>INDEX(monster!$E$2:$E$700,MATCH(progress!A312,monster!$A$2:$A$700,0))</f>
        <v>2</v>
      </c>
      <c r="E312" s="44">
        <f>INDEX(产销规划表!$G$5:$K$16,progress!D312+2,progress!C312)</f>
        <v>20000</v>
      </c>
      <c r="F312" s="44">
        <v>2</v>
      </c>
      <c r="G312" s="70" t="s">
        <v>2571</v>
      </c>
      <c r="H312" s="44">
        <f>INDEX(产销规划表!$B$5:$F$16,progress!D312+2,progress!C312)</f>
        <v>20</v>
      </c>
      <c r="I312" s="70" t="s">
        <v>3068</v>
      </c>
      <c r="J312" s="44">
        <v>1500</v>
      </c>
    </row>
    <row r="313" spans="1:10" x14ac:dyDescent="0.15">
      <c r="A313" s="31">
        <v>1330</v>
      </c>
      <c r="B313" s="31" t="s">
        <v>1845</v>
      </c>
      <c r="C313" s="35">
        <f>INDEX(monster!$D$2:$D$700,MATCH(progress!A313,monster!$A$2:$A$700,0))</f>
        <v>4</v>
      </c>
      <c r="D313" s="35">
        <f>INDEX(monster!$E$2:$E$700,MATCH(progress!A313,monster!$A$2:$A$700,0))</f>
        <v>3</v>
      </c>
      <c r="E313" s="44">
        <f>INDEX(产销规划表!$G$5:$K$16,progress!D313+2,progress!C313)</f>
        <v>40000</v>
      </c>
      <c r="F313" s="44">
        <v>2</v>
      </c>
      <c r="G313" s="70" t="s">
        <v>2571</v>
      </c>
      <c r="H313" s="44">
        <f>INDEX(产销规划表!$B$5:$F$16,progress!D313+2,progress!C313)</f>
        <v>50</v>
      </c>
      <c r="I313" s="70" t="s">
        <v>3068</v>
      </c>
      <c r="J313" s="44">
        <v>2500</v>
      </c>
    </row>
    <row r="314" spans="1:10" x14ac:dyDescent="0.15">
      <c r="A314" s="31">
        <v>1331</v>
      </c>
      <c r="B314" s="31" t="s">
        <v>1846</v>
      </c>
      <c r="C314" s="35">
        <f>INDEX(monster!$D$2:$D$700,MATCH(progress!A314,monster!$A$2:$A$700,0))</f>
        <v>4</v>
      </c>
      <c r="D314" s="35">
        <f>INDEX(monster!$E$2:$E$700,MATCH(progress!A314,monster!$A$2:$A$700,0))</f>
        <v>4</v>
      </c>
      <c r="E314" s="44">
        <f>INDEX(产销规划表!$G$5:$K$16,progress!D314+2,progress!C314)</f>
        <v>100000</v>
      </c>
      <c r="F314" s="44">
        <v>2</v>
      </c>
      <c r="G314" s="70" t="s">
        <v>2571</v>
      </c>
      <c r="H314" s="44">
        <f>INDEX(产销规划表!$B$5:$F$16,progress!D314+2,progress!C314)</f>
        <v>80</v>
      </c>
      <c r="I314" s="70" t="s">
        <v>3068</v>
      </c>
      <c r="J314" s="44">
        <v>3750</v>
      </c>
    </row>
    <row r="315" spans="1:10" x14ac:dyDescent="0.15">
      <c r="A315" s="31">
        <v>1332</v>
      </c>
      <c r="B315" s="31" t="s">
        <v>1847</v>
      </c>
      <c r="C315" s="35">
        <f>INDEX(monster!$D$2:$D$700,MATCH(progress!A315,monster!$A$2:$A$700,0))</f>
        <v>4</v>
      </c>
      <c r="D315" s="35">
        <f>INDEX(monster!$E$2:$E$700,MATCH(progress!A315,monster!$A$2:$A$700,0))</f>
        <v>5</v>
      </c>
      <c r="E315" s="44">
        <f>INDEX(产销规划表!$G$5:$K$16,progress!D315+2,progress!C315)</f>
        <v>200000</v>
      </c>
      <c r="F315" s="44">
        <v>2</v>
      </c>
      <c r="G315" s="70" t="s">
        <v>2571</v>
      </c>
      <c r="H315" s="44">
        <f>INDEX(产销规划表!$B$5:$F$16,progress!D315+2,progress!C315)</f>
        <v>120</v>
      </c>
      <c r="I315" s="70" t="s">
        <v>3068</v>
      </c>
      <c r="J315" s="44">
        <v>6250</v>
      </c>
    </row>
    <row r="316" spans="1:10" x14ac:dyDescent="0.15">
      <c r="A316" s="31">
        <v>1333</v>
      </c>
      <c r="B316" s="31" t="s">
        <v>1848</v>
      </c>
      <c r="C316" s="35">
        <f>INDEX(monster!$D$2:$D$700,MATCH(progress!A316,monster!$A$2:$A$700,0))</f>
        <v>4</v>
      </c>
      <c r="D316" s="35">
        <f>INDEX(monster!$E$2:$E$700,MATCH(progress!A316,monster!$A$2:$A$700,0))</f>
        <v>6</v>
      </c>
      <c r="E316" s="44">
        <f>INDEX(产销规划表!$G$5:$K$16,progress!D316+2,progress!C316)</f>
        <v>500000</v>
      </c>
      <c r="F316" s="44">
        <v>2</v>
      </c>
      <c r="G316" s="70" t="s">
        <v>2571</v>
      </c>
      <c r="H316" s="44">
        <f>INDEX(产销规划表!$B$5:$F$16,progress!D316+2,progress!C316)</f>
        <v>200</v>
      </c>
      <c r="I316" s="70" t="s">
        <v>3068</v>
      </c>
      <c r="J316" s="44">
        <v>10000</v>
      </c>
    </row>
    <row r="317" spans="1:10" x14ac:dyDescent="0.15">
      <c r="A317" s="31">
        <v>1334</v>
      </c>
      <c r="B317" s="31" t="s">
        <v>1849</v>
      </c>
      <c r="C317" s="35">
        <f>INDEX(monster!$D$2:$D$700,MATCH(progress!A317,monster!$A$2:$A$700,0))</f>
        <v>4</v>
      </c>
      <c r="D317" s="35">
        <f>INDEX(monster!$E$2:$E$700,MATCH(progress!A317,monster!$A$2:$A$700,0))</f>
        <v>7</v>
      </c>
      <c r="E317" s="44">
        <f>INDEX(产销规划表!$G$5:$K$16,progress!D317+2,progress!C317)</f>
        <v>1000000</v>
      </c>
      <c r="F317" s="44">
        <v>2</v>
      </c>
      <c r="G317" s="70" t="s">
        <v>2571</v>
      </c>
      <c r="H317" s="44">
        <f>INDEX(产销规划表!$B$5:$F$16,progress!D317+2,progress!C317)</f>
        <v>350</v>
      </c>
      <c r="I317" s="70" t="s">
        <v>3068</v>
      </c>
      <c r="J317" s="44">
        <v>15000</v>
      </c>
    </row>
    <row r="318" spans="1:10" x14ac:dyDescent="0.15">
      <c r="A318" s="31">
        <v>1335</v>
      </c>
      <c r="B318" s="31" t="s">
        <v>1850</v>
      </c>
      <c r="C318" s="35">
        <f>INDEX(monster!$D$2:$D$700,MATCH(progress!A318,monster!$A$2:$A$700,0))</f>
        <v>4</v>
      </c>
      <c r="D318" s="35">
        <f>INDEX(monster!$E$2:$E$700,MATCH(progress!A318,monster!$A$2:$A$700,0))</f>
        <v>8</v>
      </c>
      <c r="E318" s="44">
        <f>INDEX(产销规划表!$G$5:$K$16,progress!D318+2,progress!C318)</f>
        <v>2000000</v>
      </c>
      <c r="F318" s="44">
        <v>2</v>
      </c>
      <c r="G318" s="70" t="s">
        <v>2571</v>
      </c>
      <c r="H318" s="44">
        <f>INDEX(产销规划表!$B$5:$F$16,progress!D318+2,progress!C318)</f>
        <v>600</v>
      </c>
      <c r="I318" s="70" t="s">
        <v>3068</v>
      </c>
      <c r="J318" s="44">
        <v>22500</v>
      </c>
    </row>
    <row r="319" spans="1:10" x14ac:dyDescent="0.15">
      <c r="A319" s="31">
        <v>1336</v>
      </c>
      <c r="B319" s="31" t="s">
        <v>1851</v>
      </c>
      <c r="C319" s="35">
        <f>INDEX(monster!$D$2:$D$700,MATCH(progress!A319,monster!$A$2:$A$700,0))</f>
        <v>4</v>
      </c>
      <c r="D319" s="35">
        <f>INDEX(monster!$E$2:$E$700,MATCH(progress!A319,monster!$A$2:$A$700,0))</f>
        <v>9</v>
      </c>
      <c r="E319" s="44">
        <f>INDEX(产销规划表!$G$5:$K$16,progress!D319+2,progress!C319)</f>
        <v>5000000</v>
      </c>
      <c r="F319" s="44">
        <v>2</v>
      </c>
      <c r="G319" s="70" t="s">
        <v>2571</v>
      </c>
      <c r="H319" s="44">
        <f>INDEX(产销规划表!$B$5:$F$16,progress!D319+2,progress!C319)</f>
        <v>1000</v>
      </c>
      <c r="I319" s="70" t="s">
        <v>3068</v>
      </c>
      <c r="J319" s="44">
        <v>35000</v>
      </c>
    </row>
    <row r="320" spans="1:10" x14ac:dyDescent="0.15">
      <c r="A320" s="31">
        <v>1337</v>
      </c>
      <c r="B320" s="31" t="s">
        <v>1852</v>
      </c>
      <c r="C320" s="35">
        <f>INDEX(monster!$D$2:$D$700,MATCH(progress!A320,monster!$A$2:$A$700,0))</f>
        <v>4</v>
      </c>
      <c r="D320" s="35">
        <f>INDEX(monster!$E$2:$E$700,MATCH(progress!A320,monster!$A$2:$A$700,0))</f>
        <v>10</v>
      </c>
      <c r="E320" s="44">
        <f>INDEX(产销规划表!$G$5:$K$16,progress!D320+2,progress!C320)</f>
        <v>-1</v>
      </c>
      <c r="F320" s="44">
        <v>2</v>
      </c>
      <c r="G320" s="70" t="s">
        <v>2571</v>
      </c>
      <c r="H320" s="44">
        <f>INDEX(产销规划表!$B$5:$F$16,progress!D320+2,progress!C320)</f>
        <v>-1</v>
      </c>
      <c r="I320" s="70" t="s">
        <v>3068</v>
      </c>
      <c r="J320" s="44">
        <v>-1</v>
      </c>
    </row>
    <row r="321" spans="1:10" x14ac:dyDescent="0.15">
      <c r="A321" s="31">
        <v>1340</v>
      </c>
      <c r="B321" s="31" t="s">
        <v>1853</v>
      </c>
      <c r="C321" s="35">
        <f>INDEX(monster!$D$2:$D$700,MATCH(progress!A321,monster!$A$2:$A$700,0))</f>
        <v>4</v>
      </c>
      <c r="D321" s="35">
        <f>INDEX(monster!$E$2:$E$700,MATCH(progress!A321,monster!$A$2:$A$700,0))</f>
        <v>0</v>
      </c>
      <c r="E321" s="44">
        <f>INDEX(产销规划表!$G$5:$K$16,progress!D321+2,progress!C321)</f>
        <v>4000</v>
      </c>
      <c r="F321" s="44">
        <v>2</v>
      </c>
      <c r="G321" s="70" t="s">
        <v>2572</v>
      </c>
      <c r="H321" s="44">
        <f>INDEX(产销规划表!$B$5:$F$16,progress!D321+2,progress!C321)</f>
        <v>5</v>
      </c>
      <c r="I321" s="70" t="s">
        <v>3068</v>
      </c>
      <c r="J321" s="44">
        <v>625</v>
      </c>
    </row>
    <row r="322" spans="1:10" x14ac:dyDescent="0.15">
      <c r="A322" s="31">
        <v>1341</v>
      </c>
      <c r="B322" s="31" t="s">
        <v>1854</v>
      </c>
      <c r="C322" s="35">
        <f>INDEX(monster!$D$2:$D$700,MATCH(progress!A322,monster!$A$2:$A$700,0))</f>
        <v>4</v>
      </c>
      <c r="D322" s="35">
        <f>INDEX(monster!$E$2:$E$700,MATCH(progress!A322,monster!$A$2:$A$700,0))</f>
        <v>1</v>
      </c>
      <c r="E322" s="44">
        <f>INDEX(产销规划表!$G$5:$K$16,progress!D322+2,progress!C322)</f>
        <v>10000</v>
      </c>
      <c r="F322" s="44">
        <v>2</v>
      </c>
      <c r="G322" s="70" t="s">
        <v>2572</v>
      </c>
      <c r="H322" s="44">
        <f>INDEX(产销规划表!$B$5:$F$16,progress!D322+2,progress!C322)</f>
        <v>10</v>
      </c>
      <c r="I322" s="70" t="s">
        <v>3068</v>
      </c>
      <c r="J322" s="44">
        <v>1000</v>
      </c>
    </row>
    <row r="323" spans="1:10" x14ac:dyDescent="0.15">
      <c r="A323" s="31">
        <v>1342</v>
      </c>
      <c r="B323" s="31" t="s">
        <v>404</v>
      </c>
      <c r="C323" s="35">
        <f>INDEX(monster!$D$2:$D$700,MATCH(progress!A323,monster!$A$2:$A$700,0))</f>
        <v>4</v>
      </c>
      <c r="D323" s="35">
        <f>INDEX(monster!$E$2:$E$700,MATCH(progress!A323,monster!$A$2:$A$700,0))</f>
        <v>2</v>
      </c>
      <c r="E323" s="44">
        <f>INDEX(产销规划表!$G$5:$K$16,progress!D323+2,progress!C323)</f>
        <v>20000</v>
      </c>
      <c r="F323" s="44">
        <v>2</v>
      </c>
      <c r="G323" s="70" t="s">
        <v>2572</v>
      </c>
      <c r="H323" s="44">
        <f>INDEX(产销规划表!$B$5:$F$16,progress!D323+2,progress!C323)</f>
        <v>20</v>
      </c>
      <c r="I323" s="70" t="s">
        <v>3068</v>
      </c>
      <c r="J323" s="44">
        <v>1500</v>
      </c>
    </row>
    <row r="324" spans="1:10" x14ac:dyDescent="0.15">
      <c r="A324" s="31">
        <v>1343</v>
      </c>
      <c r="B324" s="31" t="s">
        <v>405</v>
      </c>
      <c r="C324" s="35">
        <f>INDEX(monster!$D$2:$D$700,MATCH(progress!A324,monster!$A$2:$A$700,0))</f>
        <v>4</v>
      </c>
      <c r="D324" s="35">
        <f>INDEX(monster!$E$2:$E$700,MATCH(progress!A324,monster!$A$2:$A$700,0))</f>
        <v>3</v>
      </c>
      <c r="E324" s="44">
        <f>INDEX(产销规划表!$G$5:$K$16,progress!D324+2,progress!C324)</f>
        <v>40000</v>
      </c>
      <c r="F324" s="44">
        <v>2</v>
      </c>
      <c r="G324" s="70" t="s">
        <v>2572</v>
      </c>
      <c r="H324" s="44">
        <f>INDEX(产销规划表!$B$5:$F$16,progress!D324+2,progress!C324)</f>
        <v>50</v>
      </c>
      <c r="I324" s="70" t="s">
        <v>3068</v>
      </c>
      <c r="J324" s="44">
        <v>2500</v>
      </c>
    </row>
    <row r="325" spans="1:10" x14ac:dyDescent="0.15">
      <c r="A325" s="31">
        <v>1344</v>
      </c>
      <c r="B325" s="31" t="s">
        <v>406</v>
      </c>
      <c r="C325" s="35">
        <f>INDEX(monster!$D$2:$D$700,MATCH(progress!A325,monster!$A$2:$A$700,0))</f>
        <v>4</v>
      </c>
      <c r="D325" s="35">
        <f>INDEX(monster!$E$2:$E$700,MATCH(progress!A325,monster!$A$2:$A$700,0))</f>
        <v>4</v>
      </c>
      <c r="E325" s="44">
        <f>INDEX(产销规划表!$G$5:$K$16,progress!D325+2,progress!C325)</f>
        <v>100000</v>
      </c>
      <c r="F325" s="44">
        <v>2</v>
      </c>
      <c r="G325" s="70" t="s">
        <v>2572</v>
      </c>
      <c r="H325" s="44">
        <f>INDEX(产销规划表!$B$5:$F$16,progress!D325+2,progress!C325)</f>
        <v>80</v>
      </c>
      <c r="I325" s="70" t="s">
        <v>3068</v>
      </c>
      <c r="J325" s="44">
        <v>3750</v>
      </c>
    </row>
    <row r="326" spans="1:10" x14ac:dyDescent="0.15">
      <c r="A326" s="31">
        <v>1345</v>
      </c>
      <c r="B326" s="31" t="s">
        <v>407</v>
      </c>
      <c r="C326" s="35">
        <f>INDEX(monster!$D$2:$D$700,MATCH(progress!A326,monster!$A$2:$A$700,0))</f>
        <v>4</v>
      </c>
      <c r="D326" s="35">
        <f>INDEX(monster!$E$2:$E$700,MATCH(progress!A326,monster!$A$2:$A$700,0))</f>
        <v>5</v>
      </c>
      <c r="E326" s="44">
        <f>INDEX(产销规划表!$G$5:$K$16,progress!D326+2,progress!C326)</f>
        <v>200000</v>
      </c>
      <c r="F326" s="44">
        <v>2</v>
      </c>
      <c r="G326" s="70" t="s">
        <v>2572</v>
      </c>
      <c r="H326" s="44">
        <f>INDEX(产销规划表!$B$5:$F$16,progress!D326+2,progress!C326)</f>
        <v>120</v>
      </c>
      <c r="I326" s="70" t="s">
        <v>3068</v>
      </c>
      <c r="J326" s="44">
        <v>6250</v>
      </c>
    </row>
    <row r="327" spans="1:10" x14ac:dyDescent="0.15">
      <c r="A327" s="31">
        <v>1346</v>
      </c>
      <c r="B327" s="31" t="s">
        <v>408</v>
      </c>
      <c r="C327" s="35">
        <f>INDEX(monster!$D$2:$D$700,MATCH(progress!A327,monster!$A$2:$A$700,0))</f>
        <v>4</v>
      </c>
      <c r="D327" s="35">
        <f>INDEX(monster!$E$2:$E$700,MATCH(progress!A327,monster!$A$2:$A$700,0))</f>
        <v>6</v>
      </c>
      <c r="E327" s="44">
        <f>INDEX(产销规划表!$G$5:$K$16,progress!D327+2,progress!C327)</f>
        <v>500000</v>
      </c>
      <c r="F327" s="44">
        <v>2</v>
      </c>
      <c r="G327" s="70" t="s">
        <v>2572</v>
      </c>
      <c r="H327" s="44">
        <f>INDEX(产销规划表!$B$5:$F$16,progress!D327+2,progress!C327)</f>
        <v>200</v>
      </c>
      <c r="I327" s="70" t="s">
        <v>3068</v>
      </c>
      <c r="J327" s="44">
        <v>10000</v>
      </c>
    </row>
    <row r="328" spans="1:10" x14ac:dyDescent="0.15">
      <c r="A328" s="31">
        <v>1347</v>
      </c>
      <c r="B328" s="31" t="s">
        <v>409</v>
      </c>
      <c r="C328" s="35">
        <f>INDEX(monster!$D$2:$D$700,MATCH(progress!A328,monster!$A$2:$A$700,0))</f>
        <v>4</v>
      </c>
      <c r="D328" s="35">
        <f>INDEX(monster!$E$2:$E$700,MATCH(progress!A328,monster!$A$2:$A$700,0))</f>
        <v>7</v>
      </c>
      <c r="E328" s="44">
        <f>INDEX(产销规划表!$G$5:$K$16,progress!D328+2,progress!C328)</f>
        <v>1000000</v>
      </c>
      <c r="F328" s="44">
        <v>2</v>
      </c>
      <c r="G328" s="70" t="s">
        <v>2572</v>
      </c>
      <c r="H328" s="44">
        <f>INDEX(产销规划表!$B$5:$F$16,progress!D328+2,progress!C328)</f>
        <v>350</v>
      </c>
      <c r="I328" s="70" t="s">
        <v>3068</v>
      </c>
      <c r="J328" s="44">
        <v>15000</v>
      </c>
    </row>
    <row r="329" spans="1:10" x14ac:dyDescent="0.15">
      <c r="A329" s="31">
        <v>1348</v>
      </c>
      <c r="B329" s="31" t="s">
        <v>410</v>
      </c>
      <c r="C329" s="35">
        <f>INDEX(monster!$D$2:$D$700,MATCH(progress!A329,monster!$A$2:$A$700,0))</f>
        <v>4</v>
      </c>
      <c r="D329" s="35">
        <f>INDEX(monster!$E$2:$E$700,MATCH(progress!A329,monster!$A$2:$A$700,0))</f>
        <v>8</v>
      </c>
      <c r="E329" s="44">
        <f>INDEX(产销规划表!$G$5:$K$16,progress!D329+2,progress!C329)</f>
        <v>2000000</v>
      </c>
      <c r="F329" s="44">
        <v>2</v>
      </c>
      <c r="G329" s="70" t="s">
        <v>2572</v>
      </c>
      <c r="H329" s="44">
        <f>INDEX(产销规划表!$B$5:$F$16,progress!D329+2,progress!C329)</f>
        <v>600</v>
      </c>
      <c r="I329" s="70" t="s">
        <v>3068</v>
      </c>
      <c r="J329" s="44">
        <v>22500</v>
      </c>
    </row>
    <row r="330" spans="1:10" x14ac:dyDescent="0.15">
      <c r="A330" s="31">
        <v>1349</v>
      </c>
      <c r="B330" s="31" t="s">
        <v>411</v>
      </c>
      <c r="C330" s="35">
        <f>INDEX(monster!$D$2:$D$700,MATCH(progress!A330,monster!$A$2:$A$700,0))</f>
        <v>4</v>
      </c>
      <c r="D330" s="35">
        <f>INDEX(monster!$E$2:$E$700,MATCH(progress!A330,monster!$A$2:$A$700,0))</f>
        <v>9</v>
      </c>
      <c r="E330" s="44">
        <f>INDEX(产销规划表!$G$5:$K$16,progress!D330+2,progress!C330)</f>
        <v>5000000</v>
      </c>
      <c r="F330" s="44">
        <v>2</v>
      </c>
      <c r="G330" s="70" t="s">
        <v>2572</v>
      </c>
      <c r="H330" s="44">
        <f>INDEX(产销规划表!$B$5:$F$16,progress!D330+2,progress!C330)</f>
        <v>1000</v>
      </c>
      <c r="I330" s="70" t="s">
        <v>3068</v>
      </c>
      <c r="J330" s="44">
        <v>35000</v>
      </c>
    </row>
    <row r="331" spans="1:10" x14ac:dyDescent="0.15">
      <c r="A331" s="31">
        <v>1350</v>
      </c>
      <c r="B331" s="31" t="s">
        <v>412</v>
      </c>
      <c r="C331" s="35">
        <f>INDEX(monster!$D$2:$D$700,MATCH(progress!A331,monster!$A$2:$A$700,0))</f>
        <v>4</v>
      </c>
      <c r="D331" s="35">
        <f>INDEX(monster!$E$2:$E$700,MATCH(progress!A331,monster!$A$2:$A$700,0))</f>
        <v>10</v>
      </c>
      <c r="E331" s="44">
        <f>INDEX(产销规划表!$G$5:$K$16,progress!D331+2,progress!C331)</f>
        <v>-1</v>
      </c>
      <c r="F331" s="44">
        <v>2</v>
      </c>
      <c r="G331" s="70" t="s">
        <v>2572</v>
      </c>
      <c r="H331" s="44">
        <f>INDEX(产销规划表!$B$5:$F$16,progress!D331+2,progress!C331)</f>
        <v>-1</v>
      </c>
      <c r="I331" s="70" t="s">
        <v>3068</v>
      </c>
      <c r="J331" s="44">
        <v>-1</v>
      </c>
    </row>
    <row r="332" spans="1:10" x14ac:dyDescent="0.15">
      <c r="A332" s="31">
        <v>1351</v>
      </c>
      <c r="B332" s="31" t="s">
        <v>413</v>
      </c>
      <c r="C332" s="35">
        <f>INDEX(monster!$D$2:$D$700,MATCH(progress!A332,monster!$A$2:$A$700,0))</f>
        <v>3</v>
      </c>
      <c r="D332" s="35">
        <f>INDEX(monster!$E$2:$E$700,MATCH(progress!A332,monster!$A$2:$A$700,0))</f>
        <v>0</v>
      </c>
      <c r="E332" s="44">
        <f>INDEX(产销规划表!$G$5:$K$16,progress!D332+2,progress!C332)</f>
        <v>500</v>
      </c>
      <c r="F332" s="44">
        <v>2</v>
      </c>
      <c r="G332" s="70" t="s">
        <v>2573</v>
      </c>
      <c r="H332" s="44">
        <f>INDEX(产销规划表!$B$5:$F$16,progress!D332+2,progress!C332)</f>
        <v>5</v>
      </c>
      <c r="I332" s="70" t="s">
        <v>3068</v>
      </c>
      <c r="J332" s="44">
        <v>250</v>
      </c>
    </row>
    <row r="333" spans="1:10" x14ac:dyDescent="0.15">
      <c r="A333" s="31">
        <v>1352</v>
      </c>
      <c r="B333" s="31" t="s">
        <v>414</v>
      </c>
      <c r="C333" s="35">
        <f>INDEX(monster!$D$2:$D$700,MATCH(progress!A333,monster!$A$2:$A$700,0))</f>
        <v>3</v>
      </c>
      <c r="D333" s="35">
        <f>INDEX(monster!$E$2:$E$700,MATCH(progress!A333,monster!$A$2:$A$700,0))</f>
        <v>1</v>
      </c>
      <c r="E333" s="44">
        <f>INDEX(产销规划表!$G$5:$K$16,progress!D333+2,progress!C333)</f>
        <v>1500</v>
      </c>
      <c r="F333" s="44">
        <v>2</v>
      </c>
      <c r="G333" s="70" t="s">
        <v>2573</v>
      </c>
      <c r="H333" s="44">
        <f>INDEX(产销规划表!$B$5:$F$16,progress!D333+2,progress!C333)</f>
        <v>10</v>
      </c>
      <c r="I333" s="70" t="s">
        <v>3068</v>
      </c>
      <c r="J333" s="44">
        <v>500</v>
      </c>
    </row>
    <row r="334" spans="1:10" x14ac:dyDescent="0.15">
      <c r="A334" s="31">
        <v>1353</v>
      </c>
      <c r="B334" s="31" t="s">
        <v>415</v>
      </c>
      <c r="C334" s="35">
        <f>INDEX(monster!$D$2:$D$700,MATCH(progress!A334,monster!$A$2:$A$700,0))</f>
        <v>3</v>
      </c>
      <c r="D334" s="35">
        <f>INDEX(monster!$E$2:$E$700,MATCH(progress!A334,monster!$A$2:$A$700,0))</f>
        <v>2</v>
      </c>
      <c r="E334" s="44">
        <f>INDEX(产销规划表!$G$5:$K$16,progress!D334+2,progress!C334)</f>
        <v>4000</v>
      </c>
      <c r="F334" s="44">
        <v>2</v>
      </c>
      <c r="G334" s="70" t="s">
        <v>2573</v>
      </c>
      <c r="H334" s="44">
        <f>INDEX(产销规划表!$B$5:$F$16,progress!D334+2,progress!C334)</f>
        <v>20</v>
      </c>
      <c r="I334" s="70" t="s">
        <v>3068</v>
      </c>
      <c r="J334" s="44">
        <v>750</v>
      </c>
    </row>
    <row r="335" spans="1:10" x14ac:dyDescent="0.15">
      <c r="A335" s="31">
        <v>1354</v>
      </c>
      <c r="B335" s="31" t="s">
        <v>416</v>
      </c>
      <c r="C335" s="35">
        <f>INDEX(monster!$D$2:$D$700,MATCH(progress!A335,monster!$A$2:$A$700,0))</f>
        <v>3</v>
      </c>
      <c r="D335" s="35">
        <f>INDEX(monster!$E$2:$E$700,MATCH(progress!A335,monster!$A$2:$A$700,0))</f>
        <v>3</v>
      </c>
      <c r="E335" s="44">
        <f>INDEX(产销规划表!$G$5:$K$16,progress!D335+2,progress!C335)</f>
        <v>10000</v>
      </c>
      <c r="F335" s="44">
        <v>2</v>
      </c>
      <c r="G335" s="70" t="s">
        <v>2573</v>
      </c>
      <c r="H335" s="44">
        <f>INDEX(产销规划表!$B$5:$F$16,progress!D335+2,progress!C335)</f>
        <v>50</v>
      </c>
      <c r="I335" s="70" t="s">
        <v>3068</v>
      </c>
      <c r="J335" s="44">
        <v>1250</v>
      </c>
    </row>
    <row r="336" spans="1:10" x14ac:dyDescent="0.15">
      <c r="A336" s="31">
        <v>1355</v>
      </c>
      <c r="B336" s="31" t="s">
        <v>417</v>
      </c>
      <c r="C336" s="35">
        <f>INDEX(monster!$D$2:$D$700,MATCH(progress!A336,monster!$A$2:$A$700,0))</f>
        <v>3</v>
      </c>
      <c r="D336" s="35">
        <f>INDEX(monster!$E$2:$E$700,MATCH(progress!A336,monster!$A$2:$A$700,0))</f>
        <v>4</v>
      </c>
      <c r="E336" s="44">
        <f>INDEX(产销规划表!$G$5:$K$16,progress!D336+2,progress!C336)</f>
        <v>20000</v>
      </c>
      <c r="F336" s="44">
        <v>2</v>
      </c>
      <c r="G336" s="70" t="s">
        <v>2573</v>
      </c>
      <c r="H336" s="44">
        <f>INDEX(产销规划表!$B$5:$F$16,progress!D336+2,progress!C336)</f>
        <v>80</v>
      </c>
      <c r="I336" s="70" t="s">
        <v>3068</v>
      </c>
      <c r="J336" s="44">
        <v>2000</v>
      </c>
    </row>
    <row r="337" spans="1:10" x14ac:dyDescent="0.15">
      <c r="A337" s="31">
        <v>1356</v>
      </c>
      <c r="B337" s="31" t="s">
        <v>418</v>
      </c>
      <c r="C337" s="35">
        <f>INDEX(monster!$D$2:$D$700,MATCH(progress!A337,monster!$A$2:$A$700,0))</f>
        <v>3</v>
      </c>
      <c r="D337" s="35">
        <f>INDEX(monster!$E$2:$E$700,MATCH(progress!A337,monster!$A$2:$A$700,0))</f>
        <v>5</v>
      </c>
      <c r="E337" s="44">
        <f>INDEX(产销规划表!$G$5:$K$16,progress!D337+2,progress!C337)</f>
        <v>40000</v>
      </c>
      <c r="F337" s="44">
        <v>2</v>
      </c>
      <c r="G337" s="70" t="s">
        <v>2573</v>
      </c>
      <c r="H337" s="44">
        <f>INDEX(产销规划表!$B$5:$F$16,progress!D337+2,progress!C337)</f>
        <v>120</v>
      </c>
      <c r="I337" s="70" t="s">
        <v>3068</v>
      </c>
      <c r="J337" s="44">
        <v>3250</v>
      </c>
    </row>
    <row r="338" spans="1:10" x14ac:dyDescent="0.15">
      <c r="A338" s="31">
        <v>1357</v>
      </c>
      <c r="B338" s="31" t="s">
        <v>419</v>
      </c>
      <c r="C338" s="35">
        <f>INDEX(monster!$D$2:$D$700,MATCH(progress!A338,monster!$A$2:$A$700,0))</f>
        <v>3</v>
      </c>
      <c r="D338" s="35">
        <f>INDEX(monster!$E$2:$E$700,MATCH(progress!A338,monster!$A$2:$A$700,0))</f>
        <v>6</v>
      </c>
      <c r="E338" s="44">
        <f>INDEX(产销规划表!$G$5:$K$16,progress!D338+2,progress!C338)</f>
        <v>100000</v>
      </c>
      <c r="F338" s="44">
        <v>2</v>
      </c>
      <c r="G338" s="70" t="s">
        <v>2573</v>
      </c>
      <c r="H338" s="44">
        <f>INDEX(产销规划表!$B$5:$F$16,progress!D338+2,progress!C338)</f>
        <v>200</v>
      </c>
      <c r="I338" s="70" t="s">
        <v>3068</v>
      </c>
      <c r="J338" s="44">
        <v>5000</v>
      </c>
    </row>
    <row r="339" spans="1:10" x14ac:dyDescent="0.15">
      <c r="A339" s="31">
        <v>1358</v>
      </c>
      <c r="B339" s="31" t="s">
        <v>420</v>
      </c>
      <c r="C339" s="35">
        <f>INDEX(monster!$D$2:$D$700,MATCH(progress!A339,monster!$A$2:$A$700,0))</f>
        <v>3</v>
      </c>
      <c r="D339" s="35">
        <f>INDEX(monster!$E$2:$E$700,MATCH(progress!A339,monster!$A$2:$A$700,0))</f>
        <v>7</v>
      </c>
      <c r="E339" s="44">
        <f>INDEX(产销规划表!$G$5:$K$16,progress!D339+2,progress!C339)</f>
        <v>200000</v>
      </c>
      <c r="F339" s="44">
        <v>2</v>
      </c>
      <c r="G339" s="70" t="s">
        <v>2573</v>
      </c>
      <c r="H339" s="44">
        <f>INDEX(产销规划表!$B$5:$F$16,progress!D339+2,progress!C339)</f>
        <v>350</v>
      </c>
      <c r="I339" s="70" t="s">
        <v>3068</v>
      </c>
      <c r="J339" s="44">
        <v>7500</v>
      </c>
    </row>
    <row r="340" spans="1:10" x14ac:dyDescent="0.15">
      <c r="A340" s="31">
        <v>1359</v>
      </c>
      <c r="B340" s="31" t="s">
        <v>421</v>
      </c>
      <c r="C340" s="35">
        <f>INDEX(monster!$D$2:$D$700,MATCH(progress!A340,monster!$A$2:$A$700,0))</f>
        <v>3</v>
      </c>
      <c r="D340" s="35">
        <f>INDEX(monster!$E$2:$E$700,MATCH(progress!A340,monster!$A$2:$A$700,0))</f>
        <v>8</v>
      </c>
      <c r="E340" s="44">
        <f>INDEX(产销规划表!$G$5:$K$16,progress!D340+2,progress!C340)</f>
        <v>500000</v>
      </c>
      <c r="F340" s="44">
        <v>2</v>
      </c>
      <c r="G340" s="70" t="s">
        <v>2573</v>
      </c>
      <c r="H340" s="44">
        <f>INDEX(产销规划表!$B$5:$F$16,progress!D340+2,progress!C340)</f>
        <v>600</v>
      </c>
      <c r="I340" s="70" t="s">
        <v>3068</v>
      </c>
      <c r="J340" s="44">
        <v>11250</v>
      </c>
    </row>
    <row r="341" spans="1:10" x14ac:dyDescent="0.15">
      <c r="A341" s="31">
        <v>1360</v>
      </c>
      <c r="B341" s="31" t="s">
        <v>422</v>
      </c>
      <c r="C341" s="35">
        <f>INDEX(monster!$D$2:$D$700,MATCH(progress!A341,monster!$A$2:$A$700,0))</f>
        <v>3</v>
      </c>
      <c r="D341" s="35">
        <f>INDEX(monster!$E$2:$E$700,MATCH(progress!A341,monster!$A$2:$A$700,0))</f>
        <v>9</v>
      </c>
      <c r="E341" s="44">
        <f>INDEX(产销规划表!$G$5:$K$16,progress!D341+2,progress!C341)</f>
        <v>1000000</v>
      </c>
      <c r="F341" s="44">
        <v>2</v>
      </c>
      <c r="G341" s="70" t="s">
        <v>2573</v>
      </c>
      <c r="H341" s="44">
        <f>INDEX(产销规划表!$B$5:$F$16,progress!D341+2,progress!C341)</f>
        <v>1000</v>
      </c>
      <c r="I341" s="70" t="s">
        <v>3068</v>
      </c>
      <c r="J341" s="44">
        <v>18000</v>
      </c>
    </row>
    <row r="342" spans="1:10" x14ac:dyDescent="0.15">
      <c r="A342" s="31">
        <v>1361</v>
      </c>
      <c r="B342" s="31" t="s">
        <v>423</v>
      </c>
      <c r="C342" s="35">
        <f>INDEX(monster!$D$2:$D$700,MATCH(progress!A342,monster!$A$2:$A$700,0))</f>
        <v>3</v>
      </c>
      <c r="D342" s="35">
        <f>INDEX(monster!$E$2:$E$700,MATCH(progress!A342,monster!$A$2:$A$700,0))</f>
        <v>10</v>
      </c>
      <c r="E342" s="44">
        <f>INDEX(产销规划表!$G$5:$K$16,progress!D342+2,progress!C342)</f>
        <v>-1</v>
      </c>
      <c r="F342" s="44">
        <v>2</v>
      </c>
      <c r="G342" s="70" t="s">
        <v>2573</v>
      </c>
      <c r="H342" s="44">
        <f>INDEX(产销规划表!$B$5:$F$16,progress!D342+2,progress!C342)</f>
        <v>-1</v>
      </c>
      <c r="I342" s="70" t="s">
        <v>3068</v>
      </c>
      <c r="J342" s="44">
        <v>-1</v>
      </c>
    </row>
    <row r="343" spans="1:10" x14ac:dyDescent="0.15">
      <c r="A343" s="31">
        <v>1373</v>
      </c>
      <c r="B343" s="31" t="s">
        <v>1855</v>
      </c>
      <c r="C343" s="35">
        <f>INDEX(monster!$D$2:$D$700,MATCH(progress!A343,monster!$A$2:$A$700,0))</f>
        <v>4</v>
      </c>
      <c r="D343" s="35">
        <f>INDEX(monster!$E$2:$E$700,MATCH(progress!A343,monster!$A$2:$A$700,0))</f>
        <v>0</v>
      </c>
      <c r="E343" s="44">
        <f>INDEX(产销规划表!$G$5:$K$16,progress!D343+2,progress!C343)</f>
        <v>4000</v>
      </c>
      <c r="F343" s="44">
        <v>2</v>
      </c>
      <c r="G343" s="70" t="s">
        <v>2574</v>
      </c>
      <c r="H343" s="44">
        <f>INDEX(产销规划表!$B$5:$F$16,progress!D343+2,progress!C343)</f>
        <v>5</v>
      </c>
      <c r="I343" s="70" t="s">
        <v>3068</v>
      </c>
      <c r="J343" s="44">
        <v>625</v>
      </c>
    </row>
    <row r="344" spans="1:10" x14ac:dyDescent="0.15">
      <c r="A344" s="31">
        <v>1374</v>
      </c>
      <c r="B344" s="31" t="s">
        <v>1856</v>
      </c>
      <c r="C344" s="35">
        <f>INDEX(monster!$D$2:$D$700,MATCH(progress!A344,monster!$A$2:$A$700,0))</f>
        <v>4</v>
      </c>
      <c r="D344" s="35">
        <f>INDEX(monster!$E$2:$E$700,MATCH(progress!A344,monster!$A$2:$A$700,0))</f>
        <v>1</v>
      </c>
      <c r="E344" s="44">
        <f>INDEX(产销规划表!$G$5:$K$16,progress!D344+2,progress!C344)</f>
        <v>10000</v>
      </c>
      <c r="F344" s="44">
        <v>2</v>
      </c>
      <c r="G344" s="70" t="s">
        <v>2574</v>
      </c>
      <c r="H344" s="44">
        <f>INDEX(产销规划表!$B$5:$F$16,progress!D344+2,progress!C344)</f>
        <v>10</v>
      </c>
      <c r="I344" s="70" t="s">
        <v>3068</v>
      </c>
      <c r="J344" s="44">
        <v>1000</v>
      </c>
    </row>
    <row r="345" spans="1:10" x14ac:dyDescent="0.15">
      <c r="A345" s="31">
        <v>1375</v>
      </c>
      <c r="B345" s="31" t="s">
        <v>1857</v>
      </c>
      <c r="C345" s="35">
        <f>INDEX(monster!$D$2:$D$700,MATCH(progress!A345,monster!$A$2:$A$700,0))</f>
        <v>4</v>
      </c>
      <c r="D345" s="35">
        <f>INDEX(monster!$E$2:$E$700,MATCH(progress!A345,monster!$A$2:$A$700,0))</f>
        <v>2</v>
      </c>
      <c r="E345" s="44">
        <f>INDEX(产销规划表!$G$5:$K$16,progress!D345+2,progress!C345)</f>
        <v>20000</v>
      </c>
      <c r="F345" s="44">
        <v>2</v>
      </c>
      <c r="G345" s="70" t="s">
        <v>2574</v>
      </c>
      <c r="H345" s="44">
        <f>INDEX(产销规划表!$B$5:$F$16,progress!D345+2,progress!C345)</f>
        <v>20</v>
      </c>
      <c r="I345" s="70" t="s">
        <v>3068</v>
      </c>
      <c r="J345" s="44">
        <v>1500</v>
      </c>
    </row>
    <row r="346" spans="1:10" x14ac:dyDescent="0.15">
      <c r="A346" s="31">
        <v>1376</v>
      </c>
      <c r="B346" s="31" t="s">
        <v>1858</v>
      </c>
      <c r="C346" s="35">
        <f>INDEX(monster!$D$2:$D$700,MATCH(progress!A346,monster!$A$2:$A$700,0))</f>
        <v>4</v>
      </c>
      <c r="D346" s="35">
        <f>INDEX(monster!$E$2:$E$700,MATCH(progress!A346,monster!$A$2:$A$700,0))</f>
        <v>3</v>
      </c>
      <c r="E346" s="44">
        <f>INDEX(产销规划表!$G$5:$K$16,progress!D346+2,progress!C346)</f>
        <v>40000</v>
      </c>
      <c r="F346" s="44">
        <v>2</v>
      </c>
      <c r="G346" s="70" t="s">
        <v>2574</v>
      </c>
      <c r="H346" s="44">
        <f>INDEX(产销规划表!$B$5:$F$16,progress!D346+2,progress!C346)</f>
        <v>50</v>
      </c>
      <c r="I346" s="70" t="s">
        <v>3068</v>
      </c>
      <c r="J346" s="44">
        <v>2500</v>
      </c>
    </row>
    <row r="347" spans="1:10" x14ac:dyDescent="0.15">
      <c r="A347" s="31">
        <v>1377</v>
      </c>
      <c r="B347" s="31" t="s">
        <v>1859</v>
      </c>
      <c r="C347" s="35">
        <f>INDEX(monster!$D$2:$D$700,MATCH(progress!A347,monster!$A$2:$A$700,0))</f>
        <v>4</v>
      </c>
      <c r="D347" s="35">
        <f>INDEX(monster!$E$2:$E$700,MATCH(progress!A347,monster!$A$2:$A$700,0))</f>
        <v>4</v>
      </c>
      <c r="E347" s="44">
        <f>INDEX(产销规划表!$G$5:$K$16,progress!D347+2,progress!C347)</f>
        <v>100000</v>
      </c>
      <c r="F347" s="44">
        <v>2</v>
      </c>
      <c r="G347" s="70" t="s">
        <v>2574</v>
      </c>
      <c r="H347" s="44">
        <f>INDEX(产销规划表!$B$5:$F$16,progress!D347+2,progress!C347)</f>
        <v>80</v>
      </c>
      <c r="I347" s="70" t="s">
        <v>3068</v>
      </c>
      <c r="J347" s="44">
        <v>3750</v>
      </c>
    </row>
    <row r="348" spans="1:10" x14ac:dyDescent="0.15">
      <c r="A348" s="31">
        <v>1378</v>
      </c>
      <c r="B348" s="31" t="s">
        <v>1860</v>
      </c>
      <c r="C348" s="35">
        <f>INDEX(monster!$D$2:$D$700,MATCH(progress!A348,monster!$A$2:$A$700,0))</f>
        <v>4</v>
      </c>
      <c r="D348" s="35">
        <f>INDEX(monster!$E$2:$E$700,MATCH(progress!A348,monster!$A$2:$A$700,0))</f>
        <v>5</v>
      </c>
      <c r="E348" s="44">
        <f>INDEX(产销规划表!$G$5:$K$16,progress!D348+2,progress!C348)</f>
        <v>200000</v>
      </c>
      <c r="F348" s="44">
        <v>2</v>
      </c>
      <c r="G348" s="70" t="s">
        <v>2574</v>
      </c>
      <c r="H348" s="44">
        <f>INDEX(产销规划表!$B$5:$F$16,progress!D348+2,progress!C348)</f>
        <v>120</v>
      </c>
      <c r="I348" s="70" t="s">
        <v>3068</v>
      </c>
      <c r="J348" s="44">
        <v>6250</v>
      </c>
    </row>
    <row r="349" spans="1:10" x14ac:dyDescent="0.15">
      <c r="A349" s="31">
        <v>1379</v>
      </c>
      <c r="B349" s="31" t="s">
        <v>1861</v>
      </c>
      <c r="C349" s="35">
        <f>INDEX(monster!$D$2:$D$700,MATCH(progress!A349,monster!$A$2:$A$700,0))</f>
        <v>4</v>
      </c>
      <c r="D349" s="35">
        <f>INDEX(monster!$E$2:$E$700,MATCH(progress!A349,monster!$A$2:$A$700,0))</f>
        <v>6</v>
      </c>
      <c r="E349" s="44">
        <f>INDEX(产销规划表!$G$5:$K$16,progress!D349+2,progress!C349)</f>
        <v>500000</v>
      </c>
      <c r="F349" s="44">
        <v>2</v>
      </c>
      <c r="G349" s="70" t="s">
        <v>2574</v>
      </c>
      <c r="H349" s="44">
        <f>INDEX(产销规划表!$B$5:$F$16,progress!D349+2,progress!C349)</f>
        <v>200</v>
      </c>
      <c r="I349" s="70" t="s">
        <v>3068</v>
      </c>
      <c r="J349" s="44">
        <v>10000</v>
      </c>
    </row>
    <row r="350" spans="1:10" x14ac:dyDescent="0.15">
      <c r="A350" s="31">
        <v>1380</v>
      </c>
      <c r="B350" s="31" t="s">
        <v>1862</v>
      </c>
      <c r="C350" s="35">
        <f>INDEX(monster!$D$2:$D$700,MATCH(progress!A350,monster!$A$2:$A$700,0))</f>
        <v>4</v>
      </c>
      <c r="D350" s="35">
        <f>INDEX(monster!$E$2:$E$700,MATCH(progress!A350,monster!$A$2:$A$700,0))</f>
        <v>7</v>
      </c>
      <c r="E350" s="44">
        <f>INDEX(产销规划表!$G$5:$K$16,progress!D350+2,progress!C350)</f>
        <v>1000000</v>
      </c>
      <c r="F350" s="44">
        <v>2</v>
      </c>
      <c r="G350" s="70" t="s">
        <v>2574</v>
      </c>
      <c r="H350" s="44">
        <f>INDEX(产销规划表!$B$5:$F$16,progress!D350+2,progress!C350)</f>
        <v>350</v>
      </c>
      <c r="I350" s="70" t="s">
        <v>3068</v>
      </c>
      <c r="J350" s="44">
        <v>15000</v>
      </c>
    </row>
    <row r="351" spans="1:10" x14ac:dyDescent="0.15">
      <c r="A351" s="31">
        <v>1381</v>
      </c>
      <c r="B351" s="31" t="s">
        <v>1863</v>
      </c>
      <c r="C351" s="35">
        <f>INDEX(monster!$D$2:$D$700,MATCH(progress!A351,monster!$A$2:$A$700,0))</f>
        <v>4</v>
      </c>
      <c r="D351" s="35">
        <f>INDEX(monster!$E$2:$E$700,MATCH(progress!A351,monster!$A$2:$A$700,0))</f>
        <v>8</v>
      </c>
      <c r="E351" s="44">
        <f>INDEX(产销规划表!$G$5:$K$16,progress!D351+2,progress!C351)</f>
        <v>2000000</v>
      </c>
      <c r="F351" s="44">
        <v>2</v>
      </c>
      <c r="G351" s="70" t="s">
        <v>2574</v>
      </c>
      <c r="H351" s="44">
        <f>INDEX(产销规划表!$B$5:$F$16,progress!D351+2,progress!C351)</f>
        <v>600</v>
      </c>
      <c r="I351" s="70" t="s">
        <v>3068</v>
      </c>
      <c r="J351" s="44">
        <v>22500</v>
      </c>
    </row>
    <row r="352" spans="1:10" x14ac:dyDescent="0.15">
      <c r="A352" s="31">
        <v>1382</v>
      </c>
      <c r="B352" s="31" t="s">
        <v>1864</v>
      </c>
      <c r="C352" s="35">
        <f>INDEX(monster!$D$2:$D$700,MATCH(progress!A352,monster!$A$2:$A$700,0))</f>
        <v>4</v>
      </c>
      <c r="D352" s="35">
        <f>INDEX(monster!$E$2:$E$700,MATCH(progress!A352,monster!$A$2:$A$700,0))</f>
        <v>9</v>
      </c>
      <c r="E352" s="44">
        <f>INDEX(产销规划表!$G$5:$K$16,progress!D352+2,progress!C352)</f>
        <v>5000000</v>
      </c>
      <c r="F352" s="44">
        <v>2</v>
      </c>
      <c r="G352" s="70" t="s">
        <v>2574</v>
      </c>
      <c r="H352" s="44">
        <f>INDEX(产销规划表!$B$5:$F$16,progress!D352+2,progress!C352)</f>
        <v>1000</v>
      </c>
      <c r="I352" s="70" t="s">
        <v>3068</v>
      </c>
      <c r="J352" s="44">
        <v>35000</v>
      </c>
    </row>
    <row r="353" spans="1:10" x14ac:dyDescent="0.15">
      <c r="A353" s="31">
        <v>1383</v>
      </c>
      <c r="B353" s="31" t="s">
        <v>1865</v>
      </c>
      <c r="C353" s="35">
        <f>INDEX(monster!$D$2:$D$700,MATCH(progress!A353,monster!$A$2:$A$700,0))</f>
        <v>4</v>
      </c>
      <c r="D353" s="35">
        <f>INDEX(monster!$E$2:$E$700,MATCH(progress!A353,monster!$A$2:$A$700,0))</f>
        <v>10</v>
      </c>
      <c r="E353" s="44">
        <f>INDEX(产销规划表!$G$5:$K$16,progress!D353+2,progress!C353)</f>
        <v>-1</v>
      </c>
      <c r="F353" s="44">
        <v>2</v>
      </c>
      <c r="G353" s="70" t="s">
        <v>2574</v>
      </c>
      <c r="H353" s="44">
        <f>INDEX(产销规划表!$B$5:$F$16,progress!D353+2,progress!C353)</f>
        <v>-1</v>
      </c>
      <c r="I353" s="70" t="s">
        <v>3068</v>
      </c>
      <c r="J353" s="44">
        <v>-1</v>
      </c>
    </row>
    <row r="354" spans="1:10" x14ac:dyDescent="0.15">
      <c r="A354" s="31">
        <v>1384</v>
      </c>
      <c r="B354" s="31" t="s">
        <v>1866</v>
      </c>
      <c r="C354" s="35">
        <f>INDEX(monster!$D$2:$D$700,MATCH(progress!A354,monster!$A$2:$A$700,0))</f>
        <v>4</v>
      </c>
      <c r="D354" s="35">
        <f>INDEX(monster!$E$2:$E$700,MATCH(progress!A354,monster!$A$2:$A$700,0))</f>
        <v>0</v>
      </c>
      <c r="E354" s="44">
        <f>INDEX(产销规划表!$G$5:$K$16,progress!D354+2,progress!C354)</f>
        <v>4000</v>
      </c>
      <c r="F354" s="44">
        <v>2</v>
      </c>
      <c r="G354" s="70" t="s">
        <v>2575</v>
      </c>
      <c r="H354" s="44">
        <f>INDEX(产销规划表!$B$5:$F$16,progress!D354+2,progress!C354)</f>
        <v>5</v>
      </c>
      <c r="I354" s="70" t="s">
        <v>3068</v>
      </c>
      <c r="J354" s="44">
        <v>625</v>
      </c>
    </row>
    <row r="355" spans="1:10" x14ac:dyDescent="0.15">
      <c r="A355" s="31">
        <v>1385</v>
      </c>
      <c r="B355" s="31" t="s">
        <v>1867</v>
      </c>
      <c r="C355" s="35">
        <f>INDEX(monster!$D$2:$D$700,MATCH(progress!A355,monster!$A$2:$A$700,0))</f>
        <v>4</v>
      </c>
      <c r="D355" s="35">
        <f>INDEX(monster!$E$2:$E$700,MATCH(progress!A355,monster!$A$2:$A$700,0))</f>
        <v>1</v>
      </c>
      <c r="E355" s="44">
        <f>INDEX(产销规划表!$G$5:$K$16,progress!D355+2,progress!C355)</f>
        <v>10000</v>
      </c>
      <c r="F355" s="44">
        <v>2</v>
      </c>
      <c r="G355" s="70" t="s">
        <v>2575</v>
      </c>
      <c r="H355" s="44">
        <f>INDEX(产销规划表!$B$5:$F$16,progress!D355+2,progress!C355)</f>
        <v>10</v>
      </c>
      <c r="I355" s="70" t="s">
        <v>3068</v>
      </c>
      <c r="J355" s="44">
        <v>1000</v>
      </c>
    </row>
    <row r="356" spans="1:10" x14ac:dyDescent="0.15">
      <c r="A356" s="31">
        <v>1386</v>
      </c>
      <c r="B356" s="31" t="s">
        <v>445</v>
      </c>
      <c r="C356" s="35">
        <f>INDEX(monster!$D$2:$D$700,MATCH(progress!A356,monster!$A$2:$A$700,0))</f>
        <v>4</v>
      </c>
      <c r="D356" s="35">
        <f>INDEX(monster!$E$2:$E$700,MATCH(progress!A356,monster!$A$2:$A$700,0))</f>
        <v>2</v>
      </c>
      <c r="E356" s="44">
        <f>INDEX(产销规划表!$G$5:$K$16,progress!D356+2,progress!C356)</f>
        <v>20000</v>
      </c>
      <c r="F356" s="44">
        <v>2</v>
      </c>
      <c r="G356" s="70" t="s">
        <v>2575</v>
      </c>
      <c r="H356" s="44">
        <f>INDEX(产销规划表!$B$5:$F$16,progress!D356+2,progress!C356)</f>
        <v>20</v>
      </c>
      <c r="I356" s="70" t="s">
        <v>3068</v>
      </c>
      <c r="J356" s="44">
        <v>1500</v>
      </c>
    </row>
    <row r="357" spans="1:10" x14ac:dyDescent="0.15">
      <c r="A357" s="31">
        <v>1387</v>
      </c>
      <c r="B357" s="31" t="s">
        <v>446</v>
      </c>
      <c r="C357" s="35">
        <f>INDEX(monster!$D$2:$D$700,MATCH(progress!A357,monster!$A$2:$A$700,0))</f>
        <v>4</v>
      </c>
      <c r="D357" s="35">
        <f>INDEX(monster!$E$2:$E$700,MATCH(progress!A357,monster!$A$2:$A$700,0))</f>
        <v>3</v>
      </c>
      <c r="E357" s="44">
        <f>INDEX(产销规划表!$G$5:$K$16,progress!D357+2,progress!C357)</f>
        <v>40000</v>
      </c>
      <c r="F357" s="44">
        <v>2</v>
      </c>
      <c r="G357" s="70" t="s">
        <v>2575</v>
      </c>
      <c r="H357" s="44">
        <f>INDEX(产销规划表!$B$5:$F$16,progress!D357+2,progress!C357)</f>
        <v>50</v>
      </c>
      <c r="I357" s="70" t="s">
        <v>3068</v>
      </c>
      <c r="J357" s="44">
        <v>2500</v>
      </c>
    </row>
    <row r="358" spans="1:10" x14ac:dyDescent="0.15">
      <c r="A358" s="31">
        <v>1388</v>
      </c>
      <c r="B358" s="31" t="s">
        <v>447</v>
      </c>
      <c r="C358" s="35">
        <f>INDEX(monster!$D$2:$D$700,MATCH(progress!A358,monster!$A$2:$A$700,0))</f>
        <v>4</v>
      </c>
      <c r="D358" s="35">
        <f>INDEX(monster!$E$2:$E$700,MATCH(progress!A358,monster!$A$2:$A$700,0))</f>
        <v>4</v>
      </c>
      <c r="E358" s="44">
        <f>INDEX(产销规划表!$G$5:$K$16,progress!D358+2,progress!C358)</f>
        <v>100000</v>
      </c>
      <c r="F358" s="44">
        <v>2</v>
      </c>
      <c r="G358" s="70" t="s">
        <v>2575</v>
      </c>
      <c r="H358" s="44">
        <f>INDEX(产销规划表!$B$5:$F$16,progress!D358+2,progress!C358)</f>
        <v>80</v>
      </c>
      <c r="I358" s="70" t="s">
        <v>3068</v>
      </c>
      <c r="J358" s="44">
        <v>3750</v>
      </c>
    </row>
    <row r="359" spans="1:10" x14ac:dyDescent="0.15">
      <c r="A359" s="31">
        <v>1389</v>
      </c>
      <c r="B359" s="31" t="s">
        <v>448</v>
      </c>
      <c r="C359" s="35">
        <f>INDEX(monster!$D$2:$D$700,MATCH(progress!A359,monster!$A$2:$A$700,0))</f>
        <v>4</v>
      </c>
      <c r="D359" s="35">
        <f>INDEX(monster!$E$2:$E$700,MATCH(progress!A359,monster!$A$2:$A$700,0))</f>
        <v>5</v>
      </c>
      <c r="E359" s="44">
        <f>INDEX(产销规划表!$G$5:$K$16,progress!D359+2,progress!C359)</f>
        <v>200000</v>
      </c>
      <c r="F359" s="44">
        <v>2</v>
      </c>
      <c r="G359" s="70" t="s">
        <v>2575</v>
      </c>
      <c r="H359" s="44">
        <f>INDEX(产销规划表!$B$5:$F$16,progress!D359+2,progress!C359)</f>
        <v>120</v>
      </c>
      <c r="I359" s="70" t="s">
        <v>3068</v>
      </c>
      <c r="J359" s="44">
        <v>6250</v>
      </c>
    </row>
    <row r="360" spans="1:10" x14ac:dyDescent="0.15">
      <c r="A360" s="31">
        <v>1390</v>
      </c>
      <c r="B360" s="31" t="s">
        <v>449</v>
      </c>
      <c r="C360" s="35">
        <f>INDEX(monster!$D$2:$D$700,MATCH(progress!A360,monster!$A$2:$A$700,0))</f>
        <v>4</v>
      </c>
      <c r="D360" s="35">
        <f>INDEX(monster!$E$2:$E$700,MATCH(progress!A360,monster!$A$2:$A$700,0))</f>
        <v>6</v>
      </c>
      <c r="E360" s="44">
        <f>INDEX(产销规划表!$G$5:$K$16,progress!D360+2,progress!C360)</f>
        <v>500000</v>
      </c>
      <c r="F360" s="44">
        <v>2</v>
      </c>
      <c r="G360" s="70" t="s">
        <v>2575</v>
      </c>
      <c r="H360" s="44">
        <f>INDEX(产销规划表!$B$5:$F$16,progress!D360+2,progress!C360)</f>
        <v>200</v>
      </c>
      <c r="I360" s="70" t="s">
        <v>3068</v>
      </c>
      <c r="J360" s="44">
        <v>10000</v>
      </c>
    </row>
    <row r="361" spans="1:10" x14ac:dyDescent="0.15">
      <c r="A361" s="31">
        <v>1391</v>
      </c>
      <c r="B361" s="31" t="s">
        <v>450</v>
      </c>
      <c r="C361" s="35">
        <f>INDEX(monster!$D$2:$D$700,MATCH(progress!A361,monster!$A$2:$A$700,0))</f>
        <v>4</v>
      </c>
      <c r="D361" s="35">
        <f>INDEX(monster!$E$2:$E$700,MATCH(progress!A361,monster!$A$2:$A$700,0))</f>
        <v>7</v>
      </c>
      <c r="E361" s="44">
        <f>INDEX(产销规划表!$G$5:$K$16,progress!D361+2,progress!C361)</f>
        <v>1000000</v>
      </c>
      <c r="F361" s="44">
        <v>2</v>
      </c>
      <c r="G361" s="70" t="s">
        <v>2575</v>
      </c>
      <c r="H361" s="44">
        <f>INDEX(产销规划表!$B$5:$F$16,progress!D361+2,progress!C361)</f>
        <v>350</v>
      </c>
      <c r="I361" s="70" t="s">
        <v>3068</v>
      </c>
      <c r="J361" s="44">
        <v>15000</v>
      </c>
    </row>
    <row r="362" spans="1:10" x14ac:dyDescent="0.15">
      <c r="A362" s="31">
        <v>1392</v>
      </c>
      <c r="B362" s="31" t="s">
        <v>451</v>
      </c>
      <c r="C362" s="35">
        <f>INDEX(monster!$D$2:$D$700,MATCH(progress!A362,monster!$A$2:$A$700,0))</f>
        <v>4</v>
      </c>
      <c r="D362" s="35">
        <f>INDEX(monster!$E$2:$E$700,MATCH(progress!A362,monster!$A$2:$A$700,0))</f>
        <v>8</v>
      </c>
      <c r="E362" s="44">
        <f>INDEX(产销规划表!$G$5:$K$16,progress!D362+2,progress!C362)</f>
        <v>2000000</v>
      </c>
      <c r="F362" s="44">
        <v>2</v>
      </c>
      <c r="G362" s="70" t="s">
        <v>2575</v>
      </c>
      <c r="H362" s="44">
        <f>INDEX(产销规划表!$B$5:$F$16,progress!D362+2,progress!C362)</f>
        <v>600</v>
      </c>
      <c r="I362" s="70" t="s">
        <v>3068</v>
      </c>
      <c r="J362" s="44">
        <v>22500</v>
      </c>
    </row>
    <row r="363" spans="1:10" x14ac:dyDescent="0.15">
      <c r="A363" s="31">
        <v>1393</v>
      </c>
      <c r="B363" s="31" t="s">
        <v>452</v>
      </c>
      <c r="C363" s="35">
        <f>INDEX(monster!$D$2:$D$700,MATCH(progress!A363,monster!$A$2:$A$700,0))</f>
        <v>4</v>
      </c>
      <c r="D363" s="35">
        <f>INDEX(monster!$E$2:$E$700,MATCH(progress!A363,monster!$A$2:$A$700,0))</f>
        <v>9</v>
      </c>
      <c r="E363" s="44">
        <f>INDEX(产销规划表!$G$5:$K$16,progress!D363+2,progress!C363)</f>
        <v>5000000</v>
      </c>
      <c r="F363" s="44">
        <v>2</v>
      </c>
      <c r="G363" s="70" t="s">
        <v>2575</v>
      </c>
      <c r="H363" s="44">
        <f>INDEX(产销规划表!$B$5:$F$16,progress!D363+2,progress!C363)</f>
        <v>1000</v>
      </c>
      <c r="I363" s="70" t="s">
        <v>3068</v>
      </c>
      <c r="J363" s="44">
        <v>35000</v>
      </c>
    </row>
    <row r="364" spans="1:10" x14ac:dyDescent="0.15">
      <c r="A364" s="31">
        <v>1394</v>
      </c>
      <c r="B364" s="31" t="s">
        <v>453</v>
      </c>
      <c r="C364" s="35">
        <f>INDEX(monster!$D$2:$D$700,MATCH(progress!A364,monster!$A$2:$A$700,0))</f>
        <v>4</v>
      </c>
      <c r="D364" s="35">
        <f>INDEX(monster!$E$2:$E$700,MATCH(progress!A364,monster!$A$2:$A$700,0))</f>
        <v>10</v>
      </c>
      <c r="E364" s="44">
        <f>INDEX(产销规划表!$G$5:$K$16,progress!D364+2,progress!C364)</f>
        <v>-1</v>
      </c>
      <c r="F364" s="44">
        <v>2</v>
      </c>
      <c r="G364" s="70" t="s">
        <v>2575</v>
      </c>
      <c r="H364" s="44">
        <f>INDEX(产销规划表!$B$5:$F$16,progress!D364+2,progress!C364)</f>
        <v>-1</v>
      </c>
      <c r="I364" s="70" t="s">
        <v>3068</v>
      </c>
      <c r="J364" s="44">
        <v>-1</v>
      </c>
    </row>
    <row r="365" spans="1:10" x14ac:dyDescent="0.15">
      <c r="A365" s="31">
        <v>1395</v>
      </c>
      <c r="B365" s="31" t="s">
        <v>1868</v>
      </c>
      <c r="C365" s="35">
        <f>INDEX(monster!$D$2:$D$700,MATCH(progress!A365,monster!$A$2:$A$700,0))</f>
        <v>1</v>
      </c>
      <c r="D365" s="35">
        <f>INDEX(monster!$E$2:$E$700,MATCH(progress!A365,monster!$A$2:$A$700,0))</f>
        <v>0</v>
      </c>
      <c r="E365" s="44">
        <f>INDEX(产销规划表!$G$5:$K$16,progress!D365+2,progress!C365)</f>
        <v>100</v>
      </c>
      <c r="F365" s="44">
        <v>2</v>
      </c>
      <c r="G365" s="70" t="s">
        <v>2576</v>
      </c>
      <c r="H365" s="44">
        <f>INDEX(产销规划表!$B$5:$F$16,progress!D365+2,progress!C365)</f>
        <v>5</v>
      </c>
      <c r="I365" s="70" t="s">
        <v>3068</v>
      </c>
      <c r="J365" s="44">
        <v>125</v>
      </c>
    </row>
    <row r="366" spans="1:10" x14ac:dyDescent="0.15">
      <c r="A366" s="31">
        <v>1396</v>
      </c>
      <c r="B366" s="31" t="s">
        <v>1869</v>
      </c>
      <c r="C366" s="35">
        <f>INDEX(monster!$D$2:$D$700,MATCH(progress!A366,monster!$A$2:$A$700,0))</f>
        <v>1</v>
      </c>
      <c r="D366" s="35">
        <f>INDEX(monster!$E$2:$E$700,MATCH(progress!A366,monster!$A$2:$A$700,0))</f>
        <v>1</v>
      </c>
      <c r="E366" s="44">
        <f>INDEX(产销规划表!$G$5:$K$16,progress!D366+2,progress!C366)</f>
        <v>200</v>
      </c>
      <c r="F366" s="44">
        <v>2</v>
      </c>
      <c r="G366" s="70" t="s">
        <v>2576</v>
      </c>
      <c r="H366" s="44">
        <f>INDEX(产销规划表!$B$5:$F$16,progress!D366+2,progress!C366)</f>
        <v>10</v>
      </c>
      <c r="I366" s="70" t="s">
        <v>3068</v>
      </c>
      <c r="J366" s="44">
        <v>250</v>
      </c>
    </row>
    <row r="367" spans="1:10" x14ac:dyDescent="0.15">
      <c r="A367" s="31">
        <v>1397</v>
      </c>
      <c r="B367" s="31" t="s">
        <v>456</v>
      </c>
      <c r="C367" s="35">
        <f>INDEX(monster!$D$2:$D$700,MATCH(progress!A367,monster!$A$2:$A$700,0))</f>
        <v>1</v>
      </c>
      <c r="D367" s="35">
        <f>INDEX(monster!$E$2:$E$700,MATCH(progress!A367,monster!$A$2:$A$700,0))</f>
        <v>2</v>
      </c>
      <c r="E367" s="44">
        <f>INDEX(产销规划表!$G$5:$K$16,progress!D367+2,progress!C367)</f>
        <v>500</v>
      </c>
      <c r="F367" s="44">
        <v>2</v>
      </c>
      <c r="G367" s="70" t="s">
        <v>2576</v>
      </c>
      <c r="H367" s="44">
        <f>INDEX(产销规划表!$B$5:$F$16,progress!D367+2,progress!C367)</f>
        <v>20</v>
      </c>
      <c r="I367" s="70" t="s">
        <v>3068</v>
      </c>
      <c r="J367" s="44">
        <v>375</v>
      </c>
    </row>
    <row r="368" spans="1:10" x14ac:dyDescent="0.15">
      <c r="A368" s="31">
        <v>1398</v>
      </c>
      <c r="B368" s="31" t="s">
        <v>457</v>
      </c>
      <c r="C368" s="35">
        <f>INDEX(monster!$D$2:$D$700,MATCH(progress!A368,monster!$A$2:$A$700,0))</f>
        <v>1</v>
      </c>
      <c r="D368" s="35">
        <f>INDEX(monster!$E$2:$E$700,MATCH(progress!A368,monster!$A$2:$A$700,0))</f>
        <v>3</v>
      </c>
      <c r="E368" s="44">
        <f>INDEX(产销规划表!$G$5:$K$16,progress!D368+2,progress!C368)</f>
        <v>1500</v>
      </c>
      <c r="F368" s="44">
        <v>2</v>
      </c>
      <c r="G368" s="70" t="s">
        <v>2576</v>
      </c>
      <c r="H368" s="44">
        <f>INDEX(产销规划表!$B$5:$F$16,progress!D368+2,progress!C368)</f>
        <v>50</v>
      </c>
      <c r="I368" s="70" t="s">
        <v>3068</v>
      </c>
      <c r="J368" s="44">
        <v>625</v>
      </c>
    </row>
    <row r="369" spans="1:10" x14ac:dyDescent="0.15">
      <c r="A369" s="31">
        <v>1399</v>
      </c>
      <c r="B369" s="31" t="s">
        <v>458</v>
      </c>
      <c r="C369" s="35">
        <f>INDEX(monster!$D$2:$D$700,MATCH(progress!A369,monster!$A$2:$A$700,0))</f>
        <v>1</v>
      </c>
      <c r="D369" s="35">
        <f>INDEX(monster!$E$2:$E$700,MATCH(progress!A369,monster!$A$2:$A$700,0))</f>
        <v>4</v>
      </c>
      <c r="E369" s="44">
        <f>INDEX(产销规划表!$G$5:$K$16,progress!D369+2,progress!C369)</f>
        <v>4000</v>
      </c>
      <c r="F369" s="44">
        <v>2</v>
      </c>
      <c r="G369" s="70" t="s">
        <v>2576</v>
      </c>
      <c r="H369" s="44">
        <f>INDEX(产销规划表!$B$5:$F$16,progress!D369+2,progress!C369)</f>
        <v>80</v>
      </c>
      <c r="I369" s="70" t="s">
        <v>3068</v>
      </c>
      <c r="J369" s="44">
        <v>1000</v>
      </c>
    </row>
    <row r="370" spans="1:10" x14ac:dyDescent="0.15">
      <c r="A370" s="31">
        <v>1400</v>
      </c>
      <c r="B370" s="31" t="s">
        <v>459</v>
      </c>
      <c r="C370" s="35">
        <f>INDEX(monster!$D$2:$D$700,MATCH(progress!A370,monster!$A$2:$A$700,0))</f>
        <v>1</v>
      </c>
      <c r="D370" s="35">
        <f>INDEX(monster!$E$2:$E$700,MATCH(progress!A370,monster!$A$2:$A$700,0))</f>
        <v>5</v>
      </c>
      <c r="E370" s="44">
        <f>INDEX(产销规划表!$G$5:$K$16,progress!D370+2,progress!C370)</f>
        <v>10000</v>
      </c>
      <c r="F370" s="44">
        <v>2</v>
      </c>
      <c r="G370" s="70" t="s">
        <v>2576</v>
      </c>
      <c r="H370" s="44">
        <f>INDEX(产销规划表!$B$5:$F$16,progress!D370+2,progress!C370)</f>
        <v>120</v>
      </c>
      <c r="I370" s="70" t="s">
        <v>3068</v>
      </c>
      <c r="J370" s="44">
        <v>1625</v>
      </c>
    </row>
    <row r="371" spans="1:10" x14ac:dyDescent="0.15">
      <c r="A371" s="31">
        <v>1401</v>
      </c>
      <c r="B371" s="31" t="s">
        <v>460</v>
      </c>
      <c r="C371" s="35">
        <f>INDEX(monster!$D$2:$D$700,MATCH(progress!A371,monster!$A$2:$A$700,0))</f>
        <v>1</v>
      </c>
      <c r="D371" s="35">
        <f>INDEX(monster!$E$2:$E$700,MATCH(progress!A371,monster!$A$2:$A$700,0))</f>
        <v>6</v>
      </c>
      <c r="E371" s="44">
        <f>INDEX(产销规划表!$G$5:$K$16,progress!D371+2,progress!C371)</f>
        <v>20000</v>
      </c>
      <c r="F371" s="44">
        <v>2</v>
      </c>
      <c r="G371" s="70" t="s">
        <v>2576</v>
      </c>
      <c r="H371" s="44">
        <f>INDEX(产销规划表!$B$5:$F$16,progress!D371+2,progress!C371)</f>
        <v>200</v>
      </c>
      <c r="I371" s="70" t="s">
        <v>3068</v>
      </c>
      <c r="J371" s="44">
        <v>2500</v>
      </c>
    </row>
    <row r="372" spans="1:10" x14ac:dyDescent="0.15">
      <c r="A372" s="35">
        <v>1402</v>
      </c>
      <c r="B372" s="44" t="s">
        <v>461</v>
      </c>
      <c r="C372" s="35">
        <f>INDEX(monster!$D$2:$D$700,MATCH(progress!A372,monster!$A$2:$A$700,0))</f>
        <v>1</v>
      </c>
      <c r="D372" s="35">
        <f>INDEX(monster!$E$2:$E$700,MATCH(progress!A372,monster!$A$2:$A$700,0))</f>
        <v>7</v>
      </c>
      <c r="E372" s="44">
        <f>INDEX(产销规划表!$G$5:$K$16,progress!D372+2,progress!C372)</f>
        <v>40000</v>
      </c>
      <c r="F372" s="70">
        <v>2</v>
      </c>
      <c r="G372" s="70" t="s">
        <v>2576</v>
      </c>
      <c r="H372" s="44">
        <f>INDEX(产销规划表!$B$5:$F$16,progress!D372+2,progress!C372)</f>
        <v>350</v>
      </c>
      <c r="I372" s="70" t="s">
        <v>3068</v>
      </c>
      <c r="J372" s="44">
        <v>3750</v>
      </c>
    </row>
    <row r="373" spans="1:10" x14ac:dyDescent="0.15">
      <c r="A373" s="35">
        <v>1403</v>
      </c>
      <c r="B373" s="44" t="s">
        <v>462</v>
      </c>
      <c r="C373" s="35">
        <f>INDEX(monster!$D$2:$D$700,MATCH(progress!A373,monster!$A$2:$A$700,0))</f>
        <v>1</v>
      </c>
      <c r="D373" s="35">
        <f>INDEX(monster!$E$2:$E$700,MATCH(progress!A373,monster!$A$2:$A$700,0))</f>
        <v>8</v>
      </c>
      <c r="E373" s="44">
        <f>INDEX(产销规划表!$G$5:$K$16,progress!D373+2,progress!C373)</f>
        <v>100000</v>
      </c>
      <c r="F373" s="70">
        <v>2</v>
      </c>
      <c r="G373" s="70" t="s">
        <v>2576</v>
      </c>
      <c r="H373" s="44">
        <f>INDEX(产销规划表!$B$5:$F$16,progress!D373+2,progress!C373)</f>
        <v>600</v>
      </c>
      <c r="I373" s="70" t="s">
        <v>3068</v>
      </c>
      <c r="J373" s="44">
        <v>5750</v>
      </c>
    </row>
    <row r="374" spans="1:10" x14ac:dyDescent="0.15">
      <c r="A374" s="35">
        <v>1404</v>
      </c>
      <c r="B374" s="44" t="s">
        <v>463</v>
      </c>
      <c r="C374" s="35">
        <f>INDEX(monster!$D$2:$D$700,MATCH(progress!A374,monster!$A$2:$A$700,0))</f>
        <v>1</v>
      </c>
      <c r="D374" s="35">
        <f>INDEX(monster!$E$2:$E$700,MATCH(progress!A374,monster!$A$2:$A$700,0))</f>
        <v>9</v>
      </c>
      <c r="E374" s="44">
        <f>INDEX(产销规划表!$G$5:$K$16,progress!D374+2,progress!C374)</f>
        <v>200000</v>
      </c>
      <c r="F374" s="70">
        <v>2</v>
      </c>
      <c r="G374" s="70" t="s">
        <v>2576</v>
      </c>
      <c r="H374" s="44">
        <f>INDEX(产销规划表!$B$5:$F$16,progress!D374+2,progress!C374)</f>
        <v>1000</v>
      </c>
      <c r="I374" s="70" t="s">
        <v>3068</v>
      </c>
      <c r="J374" s="44">
        <v>9000</v>
      </c>
    </row>
    <row r="375" spans="1:10" x14ac:dyDescent="0.15">
      <c r="A375" s="35">
        <v>1405</v>
      </c>
      <c r="B375" s="44" t="s">
        <v>464</v>
      </c>
      <c r="C375" s="35">
        <f>INDEX(monster!$D$2:$D$700,MATCH(progress!A375,monster!$A$2:$A$700,0))</f>
        <v>1</v>
      </c>
      <c r="D375" s="35">
        <f>INDEX(monster!$E$2:$E$700,MATCH(progress!A375,monster!$A$2:$A$700,0))</f>
        <v>10</v>
      </c>
      <c r="E375" s="44">
        <f>INDEX(产销规划表!$G$5:$K$16,progress!D375+2,progress!C375)</f>
        <v>-1</v>
      </c>
      <c r="F375" s="70">
        <v>2</v>
      </c>
      <c r="G375" s="70" t="s">
        <v>2576</v>
      </c>
      <c r="H375" s="44">
        <f>INDEX(产销规划表!$B$5:$F$16,progress!D375+2,progress!C375)</f>
        <v>-1</v>
      </c>
      <c r="I375" s="70" t="s">
        <v>3068</v>
      </c>
      <c r="J375" s="44">
        <v>-1</v>
      </c>
    </row>
    <row r="376" spans="1:10" x14ac:dyDescent="0.15">
      <c r="A376" s="35">
        <v>1406</v>
      </c>
      <c r="B376" s="44" t="s">
        <v>1870</v>
      </c>
      <c r="C376" s="35">
        <f>INDEX(monster!$D$2:$D$700,MATCH(progress!A376,monster!$A$2:$A$700,0))</f>
        <v>1</v>
      </c>
      <c r="D376" s="35">
        <f>INDEX(monster!$E$2:$E$700,MATCH(progress!A376,monster!$A$2:$A$700,0))</f>
        <v>0</v>
      </c>
      <c r="E376" s="44">
        <f>INDEX(产销规划表!$G$5:$K$16,progress!D376+2,progress!C376)</f>
        <v>100</v>
      </c>
      <c r="F376" s="70">
        <v>2</v>
      </c>
      <c r="G376" s="70" t="s">
        <v>2577</v>
      </c>
      <c r="H376" s="44">
        <f>INDEX(产销规划表!$B$5:$F$16,progress!D376+2,progress!C376)</f>
        <v>5</v>
      </c>
      <c r="I376" s="70" t="s">
        <v>3068</v>
      </c>
      <c r="J376" s="44">
        <v>125</v>
      </c>
    </row>
    <row r="377" spans="1:10" x14ac:dyDescent="0.15">
      <c r="A377" s="35">
        <v>1407</v>
      </c>
      <c r="B377" s="44" t="s">
        <v>1871</v>
      </c>
      <c r="C377" s="35">
        <f>INDEX(monster!$D$2:$D$700,MATCH(progress!A377,monster!$A$2:$A$700,0))</f>
        <v>1</v>
      </c>
      <c r="D377" s="35">
        <f>INDEX(monster!$E$2:$E$700,MATCH(progress!A377,monster!$A$2:$A$700,0))</f>
        <v>1</v>
      </c>
      <c r="E377" s="44">
        <f>INDEX(产销规划表!$G$5:$K$16,progress!D377+2,progress!C377)</f>
        <v>200</v>
      </c>
      <c r="F377" s="70">
        <v>2</v>
      </c>
      <c r="G377" s="70" t="s">
        <v>2577</v>
      </c>
      <c r="H377" s="44">
        <f>INDEX(产销规划表!$B$5:$F$16,progress!D377+2,progress!C377)</f>
        <v>10</v>
      </c>
      <c r="I377" s="70" t="s">
        <v>3068</v>
      </c>
      <c r="J377" s="44">
        <v>250</v>
      </c>
    </row>
    <row r="378" spans="1:10" x14ac:dyDescent="0.15">
      <c r="A378" s="35">
        <v>1408</v>
      </c>
      <c r="B378" s="44" t="s">
        <v>466</v>
      </c>
      <c r="C378" s="35">
        <f>INDEX(monster!$D$2:$D$700,MATCH(progress!A378,monster!$A$2:$A$700,0))</f>
        <v>1</v>
      </c>
      <c r="D378" s="35">
        <f>INDEX(monster!$E$2:$E$700,MATCH(progress!A378,monster!$A$2:$A$700,0))</f>
        <v>2</v>
      </c>
      <c r="E378" s="44">
        <f>INDEX(产销规划表!$G$5:$K$16,progress!D378+2,progress!C378)</f>
        <v>500</v>
      </c>
      <c r="F378" s="70">
        <v>2</v>
      </c>
      <c r="G378" s="70" t="s">
        <v>2577</v>
      </c>
      <c r="H378" s="44">
        <f>INDEX(产销规划表!$B$5:$F$16,progress!D378+2,progress!C378)</f>
        <v>20</v>
      </c>
      <c r="I378" s="70" t="s">
        <v>3068</v>
      </c>
      <c r="J378" s="44">
        <v>375</v>
      </c>
    </row>
    <row r="379" spans="1:10" x14ac:dyDescent="0.15">
      <c r="A379" s="35">
        <v>1409</v>
      </c>
      <c r="B379" s="44" t="s">
        <v>467</v>
      </c>
      <c r="C379" s="35">
        <f>INDEX(monster!$D$2:$D$700,MATCH(progress!A379,monster!$A$2:$A$700,0))</f>
        <v>1</v>
      </c>
      <c r="D379" s="35">
        <f>INDEX(monster!$E$2:$E$700,MATCH(progress!A379,monster!$A$2:$A$700,0))</f>
        <v>3</v>
      </c>
      <c r="E379" s="44">
        <f>INDEX(产销规划表!$G$5:$K$16,progress!D379+2,progress!C379)</f>
        <v>1500</v>
      </c>
      <c r="F379" s="70">
        <v>2</v>
      </c>
      <c r="G379" s="70" t="s">
        <v>2577</v>
      </c>
      <c r="H379" s="44">
        <f>INDEX(产销规划表!$B$5:$F$16,progress!D379+2,progress!C379)</f>
        <v>50</v>
      </c>
      <c r="I379" s="70" t="s">
        <v>3068</v>
      </c>
      <c r="J379" s="44">
        <v>625</v>
      </c>
    </row>
    <row r="380" spans="1:10" x14ac:dyDescent="0.15">
      <c r="A380" s="35">
        <v>1410</v>
      </c>
      <c r="B380" s="44" t="s">
        <v>468</v>
      </c>
      <c r="C380" s="35">
        <f>INDEX(monster!$D$2:$D$700,MATCH(progress!A380,monster!$A$2:$A$700,0))</f>
        <v>1</v>
      </c>
      <c r="D380" s="35">
        <f>INDEX(monster!$E$2:$E$700,MATCH(progress!A380,monster!$A$2:$A$700,0))</f>
        <v>4</v>
      </c>
      <c r="E380" s="44">
        <f>INDEX(产销规划表!$G$5:$K$16,progress!D380+2,progress!C380)</f>
        <v>4000</v>
      </c>
      <c r="F380" s="70">
        <v>2</v>
      </c>
      <c r="G380" s="70" t="s">
        <v>2577</v>
      </c>
      <c r="H380" s="44">
        <f>INDEX(产销规划表!$B$5:$F$16,progress!D380+2,progress!C380)</f>
        <v>80</v>
      </c>
      <c r="I380" s="70" t="s">
        <v>3068</v>
      </c>
      <c r="J380" s="44">
        <v>1000</v>
      </c>
    </row>
    <row r="381" spans="1:10" x14ac:dyDescent="0.15">
      <c r="A381" s="35">
        <v>1411</v>
      </c>
      <c r="B381" s="44" t="s">
        <v>469</v>
      </c>
      <c r="C381" s="35">
        <f>INDEX(monster!$D$2:$D$700,MATCH(progress!A381,monster!$A$2:$A$700,0))</f>
        <v>1</v>
      </c>
      <c r="D381" s="35">
        <f>INDEX(monster!$E$2:$E$700,MATCH(progress!A381,monster!$A$2:$A$700,0))</f>
        <v>5</v>
      </c>
      <c r="E381" s="44">
        <f>INDEX(产销规划表!$G$5:$K$16,progress!D381+2,progress!C381)</f>
        <v>10000</v>
      </c>
      <c r="F381" s="70">
        <v>2</v>
      </c>
      <c r="G381" s="70" t="s">
        <v>2577</v>
      </c>
      <c r="H381" s="44">
        <f>INDEX(产销规划表!$B$5:$F$16,progress!D381+2,progress!C381)</f>
        <v>120</v>
      </c>
      <c r="I381" s="70" t="s">
        <v>3068</v>
      </c>
      <c r="J381" s="44">
        <v>1625</v>
      </c>
    </row>
    <row r="382" spans="1:10" x14ac:dyDescent="0.15">
      <c r="A382" s="35">
        <v>1412</v>
      </c>
      <c r="B382" s="44" t="s">
        <v>470</v>
      </c>
      <c r="C382" s="35">
        <f>INDEX(monster!$D$2:$D$700,MATCH(progress!A382,monster!$A$2:$A$700,0))</f>
        <v>1</v>
      </c>
      <c r="D382" s="35">
        <f>INDEX(monster!$E$2:$E$700,MATCH(progress!A382,monster!$A$2:$A$700,0))</f>
        <v>6</v>
      </c>
      <c r="E382" s="44">
        <f>INDEX(产销规划表!$G$5:$K$16,progress!D382+2,progress!C382)</f>
        <v>20000</v>
      </c>
      <c r="F382" s="70">
        <v>2</v>
      </c>
      <c r="G382" s="70" t="s">
        <v>2577</v>
      </c>
      <c r="H382" s="44">
        <f>INDEX(产销规划表!$B$5:$F$16,progress!D382+2,progress!C382)</f>
        <v>200</v>
      </c>
      <c r="I382" s="70" t="s">
        <v>3068</v>
      </c>
      <c r="J382" s="44">
        <v>2500</v>
      </c>
    </row>
    <row r="383" spans="1:10" x14ac:dyDescent="0.15">
      <c r="A383" s="35">
        <v>1413</v>
      </c>
      <c r="B383" s="44" t="s">
        <v>471</v>
      </c>
      <c r="C383" s="35">
        <f>INDEX(monster!$D$2:$D$700,MATCH(progress!A383,monster!$A$2:$A$700,0))</f>
        <v>1</v>
      </c>
      <c r="D383" s="35">
        <f>INDEX(monster!$E$2:$E$700,MATCH(progress!A383,monster!$A$2:$A$700,0))</f>
        <v>7</v>
      </c>
      <c r="E383" s="44">
        <f>INDEX(产销规划表!$G$5:$K$16,progress!D383+2,progress!C383)</f>
        <v>40000</v>
      </c>
      <c r="F383" s="70">
        <v>2</v>
      </c>
      <c r="G383" s="70" t="s">
        <v>2577</v>
      </c>
      <c r="H383" s="44">
        <f>INDEX(产销规划表!$B$5:$F$16,progress!D383+2,progress!C383)</f>
        <v>350</v>
      </c>
      <c r="I383" s="70" t="s">
        <v>3068</v>
      </c>
      <c r="J383" s="44">
        <v>3750</v>
      </c>
    </row>
    <row r="384" spans="1:10" x14ac:dyDescent="0.15">
      <c r="A384" s="35">
        <v>1414</v>
      </c>
      <c r="B384" s="44" t="s">
        <v>472</v>
      </c>
      <c r="C384" s="35">
        <f>INDEX(monster!$D$2:$D$700,MATCH(progress!A384,monster!$A$2:$A$700,0))</f>
        <v>1</v>
      </c>
      <c r="D384" s="35">
        <f>INDEX(monster!$E$2:$E$700,MATCH(progress!A384,monster!$A$2:$A$700,0))</f>
        <v>8</v>
      </c>
      <c r="E384" s="44">
        <f>INDEX(产销规划表!$G$5:$K$16,progress!D384+2,progress!C384)</f>
        <v>100000</v>
      </c>
      <c r="F384" s="70">
        <v>2</v>
      </c>
      <c r="G384" s="70" t="s">
        <v>2577</v>
      </c>
      <c r="H384" s="44">
        <f>INDEX(产销规划表!$B$5:$F$16,progress!D384+2,progress!C384)</f>
        <v>600</v>
      </c>
      <c r="I384" s="70" t="s">
        <v>3068</v>
      </c>
      <c r="J384" s="44">
        <v>5750</v>
      </c>
    </row>
    <row r="385" spans="1:10" x14ac:dyDescent="0.15">
      <c r="A385" s="35">
        <v>1415</v>
      </c>
      <c r="B385" s="44" t="s">
        <v>473</v>
      </c>
      <c r="C385" s="35">
        <f>INDEX(monster!$D$2:$D$700,MATCH(progress!A385,monster!$A$2:$A$700,0))</f>
        <v>1</v>
      </c>
      <c r="D385" s="35">
        <f>INDEX(monster!$E$2:$E$700,MATCH(progress!A385,monster!$A$2:$A$700,0))</f>
        <v>9</v>
      </c>
      <c r="E385" s="44">
        <f>INDEX(产销规划表!$G$5:$K$16,progress!D385+2,progress!C385)</f>
        <v>200000</v>
      </c>
      <c r="F385" s="70">
        <v>2</v>
      </c>
      <c r="G385" s="70" t="s">
        <v>2577</v>
      </c>
      <c r="H385" s="44">
        <f>INDEX(产销规划表!$B$5:$F$16,progress!D385+2,progress!C385)</f>
        <v>1000</v>
      </c>
      <c r="I385" s="70" t="s">
        <v>3068</v>
      </c>
      <c r="J385" s="44">
        <v>9000</v>
      </c>
    </row>
    <row r="386" spans="1:10" x14ac:dyDescent="0.15">
      <c r="A386" s="35">
        <v>1416</v>
      </c>
      <c r="B386" s="44" t="s">
        <v>474</v>
      </c>
      <c r="C386" s="35">
        <f>INDEX(monster!$D$2:$D$700,MATCH(progress!A386,monster!$A$2:$A$700,0))</f>
        <v>1</v>
      </c>
      <c r="D386" s="35">
        <f>INDEX(monster!$E$2:$E$700,MATCH(progress!A386,monster!$A$2:$A$700,0))</f>
        <v>10</v>
      </c>
      <c r="E386" s="44">
        <f>INDEX(产销规划表!$G$5:$K$16,progress!D386+2,progress!C386)</f>
        <v>-1</v>
      </c>
      <c r="F386" s="70">
        <v>2</v>
      </c>
      <c r="G386" s="70" t="s">
        <v>2577</v>
      </c>
      <c r="H386" s="44">
        <f>INDEX(产销规划表!$B$5:$F$16,progress!D386+2,progress!C386)</f>
        <v>-1</v>
      </c>
      <c r="I386" s="70" t="s">
        <v>3068</v>
      </c>
      <c r="J386" s="44">
        <v>-1</v>
      </c>
    </row>
    <row r="387" spans="1:10" x14ac:dyDescent="0.15">
      <c r="A387" s="35">
        <v>1417</v>
      </c>
      <c r="B387" s="44" t="s">
        <v>1872</v>
      </c>
      <c r="C387" s="35">
        <f>INDEX(monster!$D$2:$D$700,MATCH(progress!A387,monster!$A$2:$A$700,0))</f>
        <v>3</v>
      </c>
      <c r="D387" s="35">
        <f>INDEX(monster!$E$2:$E$700,MATCH(progress!A387,monster!$A$2:$A$700,0))</f>
        <v>0</v>
      </c>
      <c r="E387" s="44">
        <f>INDEX(产销规划表!$G$5:$K$16,progress!D387+2,progress!C387)</f>
        <v>500</v>
      </c>
      <c r="F387" s="70">
        <v>2</v>
      </c>
      <c r="G387" s="70" t="s">
        <v>2578</v>
      </c>
      <c r="H387" s="44">
        <f>INDEX(产销规划表!$B$5:$F$16,progress!D387+2,progress!C387)</f>
        <v>5</v>
      </c>
      <c r="I387" s="70" t="s">
        <v>3068</v>
      </c>
      <c r="J387" s="44">
        <v>250</v>
      </c>
    </row>
    <row r="388" spans="1:10" x14ac:dyDescent="0.15">
      <c r="A388" s="35">
        <v>1418</v>
      </c>
      <c r="B388" s="44" t="s">
        <v>1873</v>
      </c>
      <c r="C388" s="35">
        <f>INDEX(monster!$D$2:$D$700,MATCH(progress!A388,monster!$A$2:$A$700,0))</f>
        <v>3</v>
      </c>
      <c r="D388" s="35">
        <f>INDEX(monster!$E$2:$E$700,MATCH(progress!A388,monster!$A$2:$A$700,0))</f>
        <v>1</v>
      </c>
      <c r="E388" s="44">
        <f>INDEX(产销规划表!$G$5:$K$16,progress!D388+2,progress!C388)</f>
        <v>1500</v>
      </c>
      <c r="F388" s="70">
        <v>2</v>
      </c>
      <c r="G388" s="70" t="s">
        <v>2578</v>
      </c>
      <c r="H388" s="44">
        <f>INDEX(产销规划表!$B$5:$F$16,progress!D388+2,progress!C388)</f>
        <v>10</v>
      </c>
      <c r="I388" s="70" t="s">
        <v>3068</v>
      </c>
      <c r="J388" s="44">
        <v>500</v>
      </c>
    </row>
    <row r="389" spans="1:10" x14ac:dyDescent="0.15">
      <c r="A389" s="35">
        <v>1419</v>
      </c>
      <c r="B389" s="44" t="s">
        <v>476</v>
      </c>
      <c r="C389" s="35">
        <f>INDEX(monster!$D$2:$D$700,MATCH(progress!A389,monster!$A$2:$A$700,0))</f>
        <v>3</v>
      </c>
      <c r="D389" s="35">
        <f>INDEX(monster!$E$2:$E$700,MATCH(progress!A389,monster!$A$2:$A$700,0))</f>
        <v>2</v>
      </c>
      <c r="E389" s="44">
        <f>INDEX(产销规划表!$G$5:$K$16,progress!D389+2,progress!C389)</f>
        <v>4000</v>
      </c>
      <c r="F389" s="70">
        <v>2</v>
      </c>
      <c r="G389" s="70" t="s">
        <v>2578</v>
      </c>
      <c r="H389" s="44">
        <f>INDEX(产销规划表!$B$5:$F$16,progress!D389+2,progress!C389)</f>
        <v>20</v>
      </c>
      <c r="I389" s="70" t="s">
        <v>3068</v>
      </c>
      <c r="J389" s="44">
        <v>750</v>
      </c>
    </row>
    <row r="390" spans="1:10" x14ac:dyDescent="0.15">
      <c r="A390" s="35">
        <v>1420</v>
      </c>
      <c r="B390" s="44" t="s">
        <v>477</v>
      </c>
      <c r="C390" s="35">
        <f>INDEX(monster!$D$2:$D$700,MATCH(progress!A390,monster!$A$2:$A$700,0))</f>
        <v>3</v>
      </c>
      <c r="D390" s="35">
        <f>INDEX(monster!$E$2:$E$700,MATCH(progress!A390,monster!$A$2:$A$700,0))</f>
        <v>3</v>
      </c>
      <c r="E390" s="44">
        <f>INDEX(产销规划表!$G$5:$K$16,progress!D390+2,progress!C390)</f>
        <v>10000</v>
      </c>
      <c r="F390" s="70">
        <v>2</v>
      </c>
      <c r="G390" s="70" t="s">
        <v>2578</v>
      </c>
      <c r="H390" s="44">
        <f>INDEX(产销规划表!$B$5:$F$16,progress!D390+2,progress!C390)</f>
        <v>50</v>
      </c>
      <c r="I390" s="70" t="s">
        <v>3068</v>
      </c>
      <c r="J390" s="44">
        <v>1250</v>
      </c>
    </row>
    <row r="391" spans="1:10" x14ac:dyDescent="0.15">
      <c r="A391" s="35">
        <v>1421</v>
      </c>
      <c r="B391" s="44" t="s">
        <v>478</v>
      </c>
      <c r="C391" s="35">
        <f>INDEX(monster!$D$2:$D$700,MATCH(progress!A391,monster!$A$2:$A$700,0))</f>
        <v>3</v>
      </c>
      <c r="D391" s="35">
        <f>INDEX(monster!$E$2:$E$700,MATCH(progress!A391,monster!$A$2:$A$700,0))</f>
        <v>4</v>
      </c>
      <c r="E391" s="44">
        <f>INDEX(产销规划表!$G$5:$K$16,progress!D391+2,progress!C391)</f>
        <v>20000</v>
      </c>
      <c r="F391" s="70">
        <v>2</v>
      </c>
      <c r="G391" s="70" t="s">
        <v>2578</v>
      </c>
      <c r="H391" s="44">
        <f>INDEX(产销规划表!$B$5:$F$16,progress!D391+2,progress!C391)</f>
        <v>80</v>
      </c>
      <c r="I391" s="70" t="s">
        <v>3068</v>
      </c>
      <c r="J391" s="44">
        <v>2000</v>
      </c>
    </row>
    <row r="392" spans="1:10" x14ac:dyDescent="0.15">
      <c r="A392" s="35">
        <v>1422</v>
      </c>
      <c r="B392" s="44" t="s">
        <v>479</v>
      </c>
      <c r="C392" s="35">
        <f>INDEX(monster!$D$2:$D$700,MATCH(progress!A392,monster!$A$2:$A$700,0))</f>
        <v>3</v>
      </c>
      <c r="D392" s="35">
        <f>INDEX(monster!$E$2:$E$700,MATCH(progress!A392,monster!$A$2:$A$700,0))</f>
        <v>5</v>
      </c>
      <c r="E392" s="44">
        <f>INDEX(产销规划表!$G$5:$K$16,progress!D392+2,progress!C392)</f>
        <v>40000</v>
      </c>
      <c r="F392" s="70">
        <v>2</v>
      </c>
      <c r="G392" s="70" t="s">
        <v>2578</v>
      </c>
      <c r="H392" s="44">
        <f>INDEX(产销规划表!$B$5:$F$16,progress!D392+2,progress!C392)</f>
        <v>120</v>
      </c>
      <c r="I392" s="70" t="s">
        <v>3068</v>
      </c>
      <c r="J392" s="44">
        <v>3250</v>
      </c>
    </row>
    <row r="393" spans="1:10" x14ac:dyDescent="0.15">
      <c r="A393" s="35">
        <v>1423</v>
      </c>
      <c r="B393" s="44" t="s">
        <v>480</v>
      </c>
      <c r="C393" s="35">
        <f>INDEX(monster!$D$2:$D$700,MATCH(progress!A393,monster!$A$2:$A$700,0))</f>
        <v>3</v>
      </c>
      <c r="D393" s="35">
        <f>INDEX(monster!$E$2:$E$700,MATCH(progress!A393,monster!$A$2:$A$700,0))</f>
        <v>6</v>
      </c>
      <c r="E393" s="44">
        <f>INDEX(产销规划表!$G$5:$K$16,progress!D393+2,progress!C393)</f>
        <v>100000</v>
      </c>
      <c r="F393" s="70">
        <v>2</v>
      </c>
      <c r="G393" s="70" t="s">
        <v>2578</v>
      </c>
      <c r="H393" s="44">
        <f>INDEX(产销规划表!$B$5:$F$16,progress!D393+2,progress!C393)</f>
        <v>200</v>
      </c>
      <c r="I393" s="70" t="s">
        <v>3068</v>
      </c>
      <c r="J393" s="44">
        <v>5000</v>
      </c>
    </row>
    <row r="394" spans="1:10" x14ac:dyDescent="0.15">
      <c r="A394" s="35">
        <v>1424</v>
      </c>
      <c r="B394" s="44" t="s">
        <v>481</v>
      </c>
      <c r="C394" s="35">
        <f>INDEX(monster!$D$2:$D$700,MATCH(progress!A394,monster!$A$2:$A$700,0))</f>
        <v>3</v>
      </c>
      <c r="D394" s="35">
        <f>INDEX(monster!$E$2:$E$700,MATCH(progress!A394,monster!$A$2:$A$700,0))</f>
        <v>7</v>
      </c>
      <c r="E394" s="44">
        <f>INDEX(产销规划表!$G$5:$K$16,progress!D394+2,progress!C394)</f>
        <v>200000</v>
      </c>
      <c r="F394" s="70">
        <v>2</v>
      </c>
      <c r="G394" s="70" t="s">
        <v>2578</v>
      </c>
      <c r="H394" s="44">
        <f>INDEX(产销规划表!$B$5:$F$16,progress!D394+2,progress!C394)</f>
        <v>350</v>
      </c>
      <c r="I394" s="70" t="s">
        <v>3068</v>
      </c>
      <c r="J394" s="44">
        <v>7500</v>
      </c>
    </row>
    <row r="395" spans="1:10" x14ac:dyDescent="0.15">
      <c r="A395" s="35">
        <v>1425</v>
      </c>
      <c r="B395" s="44" t="s">
        <v>482</v>
      </c>
      <c r="C395" s="35">
        <f>INDEX(monster!$D$2:$D$700,MATCH(progress!A395,monster!$A$2:$A$700,0))</f>
        <v>3</v>
      </c>
      <c r="D395" s="35">
        <f>INDEX(monster!$E$2:$E$700,MATCH(progress!A395,monster!$A$2:$A$700,0))</f>
        <v>8</v>
      </c>
      <c r="E395" s="44">
        <f>INDEX(产销规划表!$G$5:$K$16,progress!D395+2,progress!C395)</f>
        <v>500000</v>
      </c>
      <c r="F395" s="70">
        <v>2</v>
      </c>
      <c r="G395" s="70" t="s">
        <v>2578</v>
      </c>
      <c r="H395" s="44">
        <f>INDEX(产销规划表!$B$5:$F$16,progress!D395+2,progress!C395)</f>
        <v>600</v>
      </c>
      <c r="I395" s="70" t="s">
        <v>3068</v>
      </c>
      <c r="J395" s="44">
        <v>11250</v>
      </c>
    </row>
    <row r="396" spans="1:10" x14ac:dyDescent="0.15">
      <c r="A396" s="35">
        <v>1426</v>
      </c>
      <c r="B396" s="44" t="s">
        <v>483</v>
      </c>
      <c r="C396" s="35">
        <f>INDEX(monster!$D$2:$D$700,MATCH(progress!A396,monster!$A$2:$A$700,0))</f>
        <v>3</v>
      </c>
      <c r="D396" s="35">
        <f>INDEX(monster!$E$2:$E$700,MATCH(progress!A396,monster!$A$2:$A$700,0))</f>
        <v>9</v>
      </c>
      <c r="E396" s="44">
        <f>INDEX(产销规划表!$G$5:$K$16,progress!D396+2,progress!C396)</f>
        <v>1000000</v>
      </c>
      <c r="F396" s="70">
        <v>2</v>
      </c>
      <c r="G396" s="70" t="s">
        <v>2578</v>
      </c>
      <c r="H396" s="44">
        <f>INDEX(产销规划表!$B$5:$F$16,progress!D396+2,progress!C396)</f>
        <v>1000</v>
      </c>
      <c r="I396" s="70" t="s">
        <v>3068</v>
      </c>
      <c r="J396" s="44">
        <v>18000</v>
      </c>
    </row>
    <row r="397" spans="1:10" x14ac:dyDescent="0.15">
      <c r="A397" s="35">
        <v>1427</v>
      </c>
      <c r="B397" s="44" t="s">
        <v>484</v>
      </c>
      <c r="C397" s="35">
        <f>INDEX(monster!$D$2:$D$700,MATCH(progress!A397,monster!$A$2:$A$700,0))</f>
        <v>3</v>
      </c>
      <c r="D397" s="35">
        <f>INDEX(monster!$E$2:$E$700,MATCH(progress!A397,monster!$A$2:$A$700,0))</f>
        <v>10</v>
      </c>
      <c r="E397" s="44">
        <f>INDEX(产销规划表!$G$5:$K$16,progress!D397+2,progress!C397)</f>
        <v>-1</v>
      </c>
      <c r="F397" s="70">
        <v>2</v>
      </c>
      <c r="G397" s="70" t="s">
        <v>2578</v>
      </c>
      <c r="H397" s="44">
        <f>INDEX(产销规划表!$B$5:$F$16,progress!D397+2,progress!C397)</f>
        <v>-1</v>
      </c>
      <c r="I397" s="70" t="s">
        <v>3068</v>
      </c>
      <c r="J397" s="44">
        <v>-1</v>
      </c>
    </row>
    <row r="398" spans="1:10" x14ac:dyDescent="0.15">
      <c r="A398" s="35">
        <v>1428</v>
      </c>
      <c r="B398" s="44" t="s">
        <v>1874</v>
      </c>
      <c r="C398" s="35">
        <f>INDEX(monster!$D$2:$D$700,MATCH(progress!A398,monster!$A$2:$A$700,0))</f>
        <v>4</v>
      </c>
      <c r="D398" s="35">
        <f>INDEX(monster!$E$2:$E$700,MATCH(progress!A398,monster!$A$2:$A$700,0))</f>
        <v>0</v>
      </c>
      <c r="E398" s="44">
        <f>INDEX(产销规划表!$G$5:$K$16,progress!D398+2,progress!C398)</f>
        <v>4000</v>
      </c>
      <c r="F398" s="70">
        <v>2</v>
      </c>
      <c r="G398" s="70" t="s">
        <v>2579</v>
      </c>
      <c r="H398" s="44">
        <f>INDEX(产销规划表!$B$5:$F$16,progress!D398+2,progress!C398)</f>
        <v>5</v>
      </c>
      <c r="I398" s="70" t="s">
        <v>3068</v>
      </c>
      <c r="J398" s="44">
        <v>625</v>
      </c>
    </row>
    <row r="399" spans="1:10" x14ac:dyDescent="0.15">
      <c r="A399" s="35">
        <v>1429</v>
      </c>
      <c r="B399" s="44" t="s">
        <v>1875</v>
      </c>
      <c r="C399" s="35">
        <f>INDEX(monster!$D$2:$D$700,MATCH(progress!A399,monster!$A$2:$A$700,0))</f>
        <v>4</v>
      </c>
      <c r="D399" s="35">
        <f>INDEX(monster!$E$2:$E$700,MATCH(progress!A399,monster!$A$2:$A$700,0))</f>
        <v>1</v>
      </c>
      <c r="E399" s="44">
        <f>INDEX(产销规划表!$G$5:$K$16,progress!D399+2,progress!C399)</f>
        <v>10000</v>
      </c>
      <c r="F399" s="70">
        <v>2</v>
      </c>
      <c r="G399" s="70" t="s">
        <v>2579</v>
      </c>
      <c r="H399" s="44">
        <f>INDEX(产销规划表!$B$5:$F$16,progress!D399+2,progress!C399)</f>
        <v>10</v>
      </c>
      <c r="I399" s="70" t="s">
        <v>3068</v>
      </c>
      <c r="J399" s="44">
        <v>1000</v>
      </c>
    </row>
    <row r="400" spans="1:10" x14ac:dyDescent="0.15">
      <c r="A400" s="35">
        <v>1430</v>
      </c>
      <c r="B400" s="44" t="s">
        <v>486</v>
      </c>
      <c r="C400" s="35">
        <f>INDEX(monster!$D$2:$D$700,MATCH(progress!A400,monster!$A$2:$A$700,0))</f>
        <v>4</v>
      </c>
      <c r="D400" s="35">
        <f>INDEX(monster!$E$2:$E$700,MATCH(progress!A400,monster!$A$2:$A$700,0))</f>
        <v>2</v>
      </c>
      <c r="E400" s="44">
        <f>INDEX(产销规划表!$G$5:$K$16,progress!D400+2,progress!C400)</f>
        <v>20000</v>
      </c>
      <c r="F400" s="70">
        <v>2</v>
      </c>
      <c r="G400" s="70" t="s">
        <v>2579</v>
      </c>
      <c r="H400" s="44">
        <f>INDEX(产销规划表!$B$5:$F$16,progress!D400+2,progress!C400)</f>
        <v>20</v>
      </c>
      <c r="I400" s="70" t="s">
        <v>3068</v>
      </c>
      <c r="J400" s="44">
        <v>1500</v>
      </c>
    </row>
    <row r="401" spans="1:10" x14ac:dyDescent="0.15">
      <c r="A401" s="35">
        <v>1431</v>
      </c>
      <c r="B401" s="44" t="s">
        <v>487</v>
      </c>
      <c r="C401" s="35">
        <f>INDEX(monster!$D$2:$D$700,MATCH(progress!A401,monster!$A$2:$A$700,0))</f>
        <v>4</v>
      </c>
      <c r="D401" s="35">
        <f>INDEX(monster!$E$2:$E$700,MATCH(progress!A401,monster!$A$2:$A$700,0))</f>
        <v>3</v>
      </c>
      <c r="E401" s="44">
        <f>INDEX(产销规划表!$G$5:$K$16,progress!D401+2,progress!C401)</f>
        <v>40000</v>
      </c>
      <c r="F401" s="70">
        <v>2</v>
      </c>
      <c r="G401" s="70" t="s">
        <v>2579</v>
      </c>
      <c r="H401" s="44">
        <f>INDEX(产销规划表!$B$5:$F$16,progress!D401+2,progress!C401)</f>
        <v>50</v>
      </c>
      <c r="I401" s="70" t="s">
        <v>3068</v>
      </c>
      <c r="J401" s="44">
        <v>2500</v>
      </c>
    </row>
    <row r="402" spans="1:10" x14ac:dyDescent="0.15">
      <c r="A402" s="35">
        <v>1432</v>
      </c>
      <c r="B402" s="44" t="s">
        <v>488</v>
      </c>
      <c r="C402" s="35">
        <f>INDEX(monster!$D$2:$D$700,MATCH(progress!A402,monster!$A$2:$A$700,0))</f>
        <v>4</v>
      </c>
      <c r="D402" s="35">
        <f>INDEX(monster!$E$2:$E$700,MATCH(progress!A402,monster!$A$2:$A$700,0))</f>
        <v>4</v>
      </c>
      <c r="E402" s="44">
        <f>INDEX(产销规划表!$G$5:$K$16,progress!D402+2,progress!C402)</f>
        <v>100000</v>
      </c>
      <c r="F402" s="70">
        <v>2</v>
      </c>
      <c r="G402" s="70" t="s">
        <v>2579</v>
      </c>
      <c r="H402" s="44">
        <f>INDEX(产销规划表!$B$5:$F$16,progress!D402+2,progress!C402)</f>
        <v>80</v>
      </c>
      <c r="I402" s="70" t="s">
        <v>3068</v>
      </c>
      <c r="J402" s="44">
        <v>3750</v>
      </c>
    </row>
    <row r="403" spans="1:10" x14ac:dyDescent="0.15">
      <c r="A403" s="35">
        <v>1433</v>
      </c>
      <c r="B403" s="44" t="s">
        <v>489</v>
      </c>
      <c r="C403" s="35">
        <f>INDEX(monster!$D$2:$D$700,MATCH(progress!A403,monster!$A$2:$A$700,0))</f>
        <v>4</v>
      </c>
      <c r="D403" s="35">
        <f>INDEX(monster!$E$2:$E$700,MATCH(progress!A403,monster!$A$2:$A$700,0))</f>
        <v>5</v>
      </c>
      <c r="E403" s="44">
        <f>INDEX(产销规划表!$G$5:$K$16,progress!D403+2,progress!C403)</f>
        <v>200000</v>
      </c>
      <c r="F403" s="70">
        <v>2</v>
      </c>
      <c r="G403" s="70" t="s">
        <v>2579</v>
      </c>
      <c r="H403" s="44">
        <f>INDEX(产销规划表!$B$5:$F$16,progress!D403+2,progress!C403)</f>
        <v>120</v>
      </c>
      <c r="I403" s="70" t="s">
        <v>3068</v>
      </c>
      <c r="J403" s="44">
        <v>6250</v>
      </c>
    </row>
    <row r="404" spans="1:10" x14ac:dyDescent="0.15">
      <c r="A404" s="35">
        <v>1434</v>
      </c>
      <c r="B404" s="44" t="s">
        <v>490</v>
      </c>
      <c r="C404" s="35">
        <f>INDEX(monster!$D$2:$D$700,MATCH(progress!A404,monster!$A$2:$A$700,0))</f>
        <v>4</v>
      </c>
      <c r="D404" s="35">
        <f>INDEX(monster!$E$2:$E$700,MATCH(progress!A404,monster!$A$2:$A$700,0))</f>
        <v>6</v>
      </c>
      <c r="E404" s="44">
        <f>INDEX(产销规划表!$G$5:$K$16,progress!D404+2,progress!C404)</f>
        <v>500000</v>
      </c>
      <c r="F404" s="70">
        <v>2</v>
      </c>
      <c r="G404" s="70" t="s">
        <v>2579</v>
      </c>
      <c r="H404" s="44">
        <f>INDEX(产销规划表!$B$5:$F$16,progress!D404+2,progress!C404)</f>
        <v>200</v>
      </c>
      <c r="I404" s="70" t="s">
        <v>3068</v>
      </c>
      <c r="J404" s="44">
        <v>10000</v>
      </c>
    </row>
    <row r="405" spans="1:10" x14ac:dyDescent="0.15">
      <c r="A405" s="35">
        <v>1435</v>
      </c>
      <c r="B405" s="44" t="s">
        <v>491</v>
      </c>
      <c r="C405" s="35">
        <f>INDEX(monster!$D$2:$D$700,MATCH(progress!A405,monster!$A$2:$A$700,0))</f>
        <v>4</v>
      </c>
      <c r="D405" s="35">
        <f>INDEX(monster!$E$2:$E$700,MATCH(progress!A405,monster!$A$2:$A$700,0))</f>
        <v>7</v>
      </c>
      <c r="E405" s="44">
        <f>INDEX(产销规划表!$G$5:$K$16,progress!D405+2,progress!C405)</f>
        <v>1000000</v>
      </c>
      <c r="F405" s="70">
        <v>2</v>
      </c>
      <c r="G405" s="70" t="s">
        <v>2579</v>
      </c>
      <c r="H405" s="44">
        <f>INDEX(产销规划表!$B$5:$F$16,progress!D405+2,progress!C405)</f>
        <v>350</v>
      </c>
      <c r="I405" s="70" t="s">
        <v>3068</v>
      </c>
      <c r="J405" s="44">
        <v>15000</v>
      </c>
    </row>
    <row r="406" spans="1:10" x14ac:dyDescent="0.15">
      <c r="A406" s="35">
        <v>1436</v>
      </c>
      <c r="B406" s="44" t="s">
        <v>492</v>
      </c>
      <c r="C406" s="35">
        <f>INDEX(monster!$D$2:$D$700,MATCH(progress!A406,monster!$A$2:$A$700,0))</f>
        <v>4</v>
      </c>
      <c r="D406" s="35">
        <f>INDEX(monster!$E$2:$E$700,MATCH(progress!A406,monster!$A$2:$A$700,0))</f>
        <v>8</v>
      </c>
      <c r="E406" s="44">
        <f>INDEX(产销规划表!$G$5:$K$16,progress!D406+2,progress!C406)</f>
        <v>2000000</v>
      </c>
      <c r="F406" s="70">
        <v>2</v>
      </c>
      <c r="G406" s="70" t="s">
        <v>2579</v>
      </c>
      <c r="H406" s="44">
        <f>INDEX(产销规划表!$B$5:$F$16,progress!D406+2,progress!C406)</f>
        <v>600</v>
      </c>
      <c r="I406" s="70" t="s">
        <v>3068</v>
      </c>
      <c r="J406" s="44">
        <v>22500</v>
      </c>
    </row>
    <row r="407" spans="1:10" x14ac:dyDescent="0.15">
      <c r="A407" s="35">
        <v>1437</v>
      </c>
      <c r="B407" s="44" t="s">
        <v>1399</v>
      </c>
      <c r="C407" s="35">
        <f>INDEX(monster!$D$2:$D$700,MATCH(progress!A407,monster!$A$2:$A$700,0))</f>
        <v>4</v>
      </c>
      <c r="D407" s="35">
        <f>INDEX(monster!$E$2:$E$700,MATCH(progress!A407,monster!$A$2:$A$700,0))</f>
        <v>9</v>
      </c>
      <c r="E407" s="44">
        <f>INDEX(产销规划表!$G$5:$K$16,progress!D407+2,progress!C407)</f>
        <v>5000000</v>
      </c>
      <c r="F407" s="70">
        <v>2</v>
      </c>
      <c r="G407" s="70" t="s">
        <v>2579</v>
      </c>
      <c r="H407" s="44">
        <f>INDEX(产销规划表!$B$5:$F$16,progress!D407+2,progress!C407)</f>
        <v>1000</v>
      </c>
      <c r="I407" s="70" t="s">
        <v>3068</v>
      </c>
      <c r="J407" s="44">
        <v>35000</v>
      </c>
    </row>
    <row r="408" spans="1:10" x14ac:dyDescent="0.15">
      <c r="A408" s="35">
        <v>1438</v>
      </c>
      <c r="B408" s="44" t="s">
        <v>493</v>
      </c>
      <c r="C408" s="35">
        <f>INDEX(monster!$D$2:$D$700,MATCH(progress!A408,monster!$A$2:$A$700,0))</f>
        <v>4</v>
      </c>
      <c r="D408" s="35">
        <f>INDEX(monster!$E$2:$E$700,MATCH(progress!A408,monster!$A$2:$A$700,0))</f>
        <v>10</v>
      </c>
      <c r="E408" s="44">
        <f>INDEX(产销规划表!$G$5:$K$16,progress!D408+2,progress!C408)</f>
        <v>-1</v>
      </c>
      <c r="F408" s="70">
        <v>2</v>
      </c>
      <c r="G408" s="70" t="s">
        <v>2579</v>
      </c>
      <c r="H408" s="44">
        <f>INDEX(产销规划表!$B$5:$F$16,progress!D408+2,progress!C408)</f>
        <v>-1</v>
      </c>
      <c r="I408" s="70" t="s">
        <v>3068</v>
      </c>
      <c r="J408" s="44">
        <v>-1</v>
      </c>
    </row>
    <row r="409" spans="1:10" x14ac:dyDescent="0.15">
      <c r="A409" s="35">
        <v>1439</v>
      </c>
      <c r="B409" s="44" t="s">
        <v>1876</v>
      </c>
      <c r="C409" s="35">
        <f>INDEX(monster!$D$2:$D$700,MATCH(progress!A409,monster!$A$2:$A$700,0))</f>
        <v>4</v>
      </c>
      <c r="D409" s="35">
        <f>INDEX(monster!$E$2:$E$700,MATCH(progress!A409,monster!$A$2:$A$700,0))</f>
        <v>0</v>
      </c>
      <c r="E409" s="44">
        <f>INDEX(产销规划表!$G$5:$K$16,progress!D409+2,progress!C409)</f>
        <v>4000</v>
      </c>
      <c r="F409" s="70">
        <v>2</v>
      </c>
      <c r="G409" s="70" t="s">
        <v>2580</v>
      </c>
      <c r="H409" s="44">
        <f>INDEX(产销规划表!$B$5:$F$16,progress!D409+2,progress!C409)</f>
        <v>5</v>
      </c>
      <c r="I409" s="70" t="s">
        <v>3068</v>
      </c>
      <c r="J409" s="44">
        <v>625</v>
      </c>
    </row>
    <row r="410" spans="1:10" x14ac:dyDescent="0.15">
      <c r="A410" s="35">
        <v>1440</v>
      </c>
      <c r="B410" s="44" t="s">
        <v>1877</v>
      </c>
      <c r="C410" s="35">
        <f>INDEX(monster!$D$2:$D$700,MATCH(progress!A410,monster!$A$2:$A$700,0))</f>
        <v>4</v>
      </c>
      <c r="D410" s="35">
        <f>INDEX(monster!$E$2:$E$700,MATCH(progress!A410,monster!$A$2:$A$700,0))</f>
        <v>1</v>
      </c>
      <c r="E410" s="44">
        <f>INDEX(产销规划表!$G$5:$K$16,progress!D410+2,progress!C410)</f>
        <v>10000</v>
      </c>
      <c r="F410" s="70">
        <v>2</v>
      </c>
      <c r="G410" s="70" t="s">
        <v>2580</v>
      </c>
      <c r="H410" s="44">
        <f>INDEX(产销规划表!$B$5:$F$16,progress!D410+2,progress!C410)</f>
        <v>10</v>
      </c>
      <c r="I410" s="70" t="s">
        <v>3068</v>
      </c>
      <c r="J410" s="44">
        <v>1000</v>
      </c>
    </row>
    <row r="411" spans="1:10" x14ac:dyDescent="0.15">
      <c r="A411" s="35">
        <v>1441</v>
      </c>
      <c r="B411" s="44" t="s">
        <v>494</v>
      </c>
      <c r="C411" s="35">
        <f>INDEX(monster!$D$2:$D$700,MATCH(progress!A411,monster!$A$2:$A$700,0))</f>
        <v>4</v>
      </c>
      <c r="D411" s="35">
        <f>INDEX(monster!$E$2:$E$700,MATCH(progress!A411,monster!$A$2:$A$700,0))</f>
        <v>2</v>
      </c>
      <c r="E411" s="44">
        <f>INDEX(产销规划表!$G$5:$K$16,progress!D411+2,progress!C411)</f>
        <v>20000</v>
      </c>
      <c r="F411" s="70">
        <v>2</v>
      </c>
      <c r="G411" s="70" t="s">
        <v>2580</v>
      </c>
      <c r="H411" s="44">
        <f>INDEX(产销规划表!$B$5:$F$16,progress!D411+2,progress!C411)</f>
        <v>20</v>
      </c>
      <c r="I411" s="70" t="s">
        <v>3068</v>
      </c>
      <c r="J411" s="44">
        <v>1500</v>
      </c>
    </row>
    <row r="412" spans="1:10" x14ac:dyDescent="0.15">
      <c r="A412" s="35">
        <v>1442</v>
      </c>
      <c r="B412" s="44" t="s">
        <v>495</v>
      </c>
      <c r="C412" s="35">
        <f>INDEX(monster!$D$2:$D$700,MATCH(progress!A412,monster!$A$2:$A$700,0))</f>
        <v>4</v>
      </c>
      <c r="D412" s="35">
        <f>INDEX(monster!$E$2:$E$700,MATCH(progress!A412,monster!$A$2:$A$700,0))</f>
        <v>3</v>
      </c>
      <c r="E412" s="44">
        <f>INDEX(产销规划表!$G$5:$K$16,progress!D412+2,progress!C412)</f>
        <v>40000</v>
      </c>
      <c r="F412" s="70">
        <v>2</v>
      </c>
      <c r="G412" s="70" t="s">
        <v>2580</v>
      </c>
      <c r="H412" s="44">
        <f>INDEX(产销规划表!$B$5:$F$16,progress!D412+2,progress!C412)</f>
        <v>50</v>
      </c>
      <c r="I412" s="70" t="s">
        <v>3068</v>
      </c>
      <c r="J412" s="44">
        <v>2500</v>
      </c>
    </row>
    <row r="413" spans="1:10" x14ac:dyDescent="0.15">
      <c r="A413" s="35">
        <v>1443</v>
      </c>
      <c r="B413" s="44" t="s">
        <v>496</v>
      </c>
      <c r="C413" s="35">
        <f>INDEX(monster!$D$2:$D$700,MATCH(progress!A413,monster!$A$2:$A$700,0))</f>
        <v>4</v>
      </c>
      <c r="D413" s="35">
        <f>INDEX(monster!$E$2:$E$700,MATCH(progress!A413,monster!$A$2:$A$700,0))</f>
        <v>4</v>
      </c>
      <c r="E413" s="44">
        <f>INDEX(产销规划表!$G$5:$K$16,progress!D413+2,progress!C413)</f>
        <v>100000</v>
      </c>
      <c r="F413" s="70">
        <v>2</v>
      </c>
      <c r="G413" s="70" t="s">
        <v>2580</v>
      </c>
      <c r="H413" s="44">
        <f>INDEX(产销规划表!$B$5:$F$16,progress!D413+2,progress!C413)</f>
        <v>80</v>
      </c>
      <c r="I413" s="70" t="s">
        <v>3068</v>
      </c>
      <c r="J413" s="44">
        <v>3750</v>
      </c>
    </row>
    <row r="414" spans="1:10" x14ac:dyDescent="0.15">
      <c r="A414" s="35">
        <v>1444</v>
      </c>
      <c r="B414" s="44" t="s">
        <v>497</v>
      </c>
      <c r="C414" s="35">
        <f>INDEX(monster!$D$2:$D$700,MATCH(progress!A414,monster!$A$2:$A$700,0))</f>
        <v>4</v>
      </c>
      <c r="D414" s="35">
        <f>INDEX(monster!$E$2:$E$700,MATCH(progress!A414,monster!$A$2:$A$700,0))</f>
        <v>5</v>
      </c>
      <c r="E414" s="44">
        <f>INDEX(产销规划表!$G$5:$K$16,progress!D414+2,progress!C414)</f>
        <v>200000</v>
      </c>
      <c r="F414" s="70">
        <v>2</v>
      </c>
      <c r="G414" s="70" t="s">
        <v>2580</v>
      </c>
      <c r="H414" s="44">
        <f>INDEX(产销规划表!$B$5:$F$16,progress!D414+2,progress!C414)</f>
        <v>120</v>
      </c>
      <c r="I414" s="70" t="s">
        <v>3068</v>
      </c>
      <c r="J414" s="44">
        <v>6250</v>
      </c>
    </row>
    <row r="415" spans="1:10" x14ac:dyDescent="0.15">
      <c r="A415" s="35">
        <v>1445</v>
      </c>
      <c r="B415" s="44" t="s">
        <v>498</v>
      </c>
      <c r="C415" s="35">
        <f>INDEX(monster!$D$2:$D$700,MATCH(progress!A415,monster!$A$2:$A$700,0))</f>
        <v>4</v>
      </c>
      <c r="D415" s="35">
        <f>INDEX(monster!$E$2:$E$700,MATCH(progress!A415,monster!$A$2:$A$700,0))</f>
        <v>6</v>
      </c>
      <c r="E415" s="44">
        <f>INDEX(产销规划表!$G$5:$K$16,progress!D415+2,progress!C415)</f>
        <v>500000</v>
      </c>
      <c r="F415" s="70">
        <v>2</v>
      </c>
      <c r="G415" s="70" t="s">
        <v>2580</v>
      </c>
      <c r="H415" s="44">
        <f>INDEX(产销规划表!$B$5:$F$16,progress!D415+2,progress!C415)</f>
        <v>200</v>
      </c>
      <c r="I415" s="70" t="s">
        <v>3068</v>
      </c>
      <c r="J415" s="44">
        <v>10000</v>
      </c>
    </row>
    <row r="416" spans="1:10" x14ac:dyDescent="0.15">
      <c r="A416" s="35">
        <v>1446</v>
      </c>
      <c r="B416" s="44" t="s">
        <v>499</v>
      </c>
      <c r="C416" s="35">
        <f>INDEX(monster!$D$2:$D$700,MATCH(progress!A416,monster!$A$2:$A$700,0))</f>
        <v>4</v>
      </c>
      <c r="D416" s="35">
        <f>INDEX(monster!$E$2:$E$700,MATCH(progress!A416,monster!$A$2:$A$700,0))</f>
        <v>7</v>
      </c>
      <c r="E416" s="44">
        <f>INDEX(产销规划表!$G$5:$K$16,progress!D416+2,progress!C416)</f>
        <v>1000000</v>
      </c>
      <c r="F416" s="70">
        <v>2</v>
      </c>
      <c r="G416" s="70" t="s">
        <v>2580</v>
      </c>
      <c r="H416" s="44">
        <f>INDEX(产销规划表!$B$5:$F$16,progress!D416+2,progress!C416)</f>
        <v>350</v>
      </c>
      <c r="I416" s="70" t="s">
        <v>3068</v>
      </c>
      <c r="J416" s="44">
        <v>15000</v>
      </c>
    </row>
    <row r="417" spans="1:10" x14ac:dyDescent="0.15">
      <c r="A417" s="35">
        <v>1447</v>
      </c>
      <c r="B417" s="44" t="s">
        <v>500</v>
      </c>
      <c r="C417" s="35">
        <f>INDEX(monster!$D$2:$D$700,MATCH(progress!A417,monster!$A$2:$A$700,0))</f>
        <v>4</v>
      </c>
      <c r="D417" s="35">
        <f>INDEX(monster!$E$2:$E$700,MATCH(progress!A417,monster!$A$2:$A$700,0))</f>
        <v>8</v>
      </c>
      <c r="E417" s="44">
        <f>INDEX(产销规划表!$G$5:$K$16,progress!D417+2,progress!C417)</f>
        <v>2000000</v>
      </c>
      <c r="F417" s="70">
        <v>2</v>
      </c>
      <c r="G417" s="70" t="s">
        <v>2580</v>
      </c>
      <c r="H417" s="44">
        <f>INDEX(产销规划表!$B$5:$F$16,progress!D417+2,progress!C417)</f>
        <v>600</v>
      </c>
      <c r="I417" s="70" t="s">
        <v>3068</v>
      </c>
      <c r="J417" s="44">
        <v>22500</v>
      </c>
    </row>
    <row r="418" spans="1:10" x14ac:dyDescent="0.15">
      <c r="A418" s="35">
        <v>1448</v>
      </c>
      <c r="B418" s="44" t="s">
        <v>501</v>
      </c>
      <c r="C418" s="35">
        <f>INDEX(monster!$D$2:$D$700,MATCH(progress!A418,monster!$A$2:$A$700,0))</f>
        <v>4</v>
      </c>
      <c r="D418" s="35">
        <f>INDEX(monster!$E$2:$E$700,MATCH(progress!A418,monster!$A$2:$A$700,0))</f>
        <v>9</v>
      </c>
      <c r="E418" s="44">
        <f>INDEX(产销规划表!$G$5:$K$16,progress!D418+2,progress!C418)</f>
        <v>5000000</v>
      </c>
      <c r="F418" s="70">
        <v>2</v>
      </c>
      <c r="G418" s="70" t="s">
        <v>2580</v>
      </c>
      <c r="H418" s="44">
        <f>INDEX(产销规划表!$B$5:$F$16,progress!D418+2,progress!C418)</f>
        <v>1000</v>
      </c>
      <c r="I418" s="70" t="s">
        <v>3068</v>
      </c>
      <c r="J418" s="44">
        <v>35000</v>
      </c>
    </row>
    <row r="419" spans="1:10" x14ac:dyDescent="0.15">
      <c r="A419" s="35">
        <v>1449</v>
      </c>
      <c r="B419" s="44" t="s">
        <v>502</v>
      </c>
      <c r="C419" s="35">
        <f>INDEX(monster!$D$2:$D$700,MATCH(progress!A419,monster!$A$2:$A$700,0))</f>
        <v>4</v>
      </c>
      <c r="D419" s="35">
        <f>INDEX(monster!$E$2:$E$700,MATCH(progress!A419,monster!$A$2:$A$700,0))</f>
        <v>10</v>
      </c>
      <c r="E419" s="44">
        <f>INDEX(产销规划表!$G$5:$K$16,progress!D419+2,progress!C419)</f>
        <v>-1</v>
      </c>
      <c r="F419" s="70">
        <v>2</v>
      </c>
      <c r="G419" s="70" t="s">
        <v>2580</v>
      </c>
      <c r="H419" s="44">
        <f>INDEX(产销规划表!$B$5:$F$16,progress!D419+2,progress!C419)</f>
        <v>-1</v>
      </c>
      <c r="I419" s="70" t="s">
        <v>3068</v>
      </c>
      <c r="J419" s="44">
        <v>-1</v>
      </c>
    </row>
    <row r="420" spans="1:10" x14ac:dyDescent="0.15">
      <c r="A420" s="35">
        <v>1450</v>
      </c>
      <c r="B420" s="44" t="s">
        <v>1878</v>
      </c>
      <c r="C420" s="35">
        <f>INDEX(monster!$D$2:$D$700,MATCH(progress!A420,monster!$A$2:$A$700,0))</f>
        <v>3</v>
      </c>
      <c r="D420" s="35">
        <f>INDEX(monster!$E$2:$E$700,MATCH(progress!A420,monster!$A$2:$A$700,0))</f>
        <v>0</v>
      </c>
      <c r="E420" s="44">
        <f>INDEX(产销规划表!$G$5:$K$16,progress!D420+2,progress!C420)</f>
        <v>500</v>
      </c>
      <c r="F420" s="70">
        <v>2</v>
      </c>
      <c r="G420" s="70" t="s">
        <v>2581</v>
      </c>
      <c r="H420" s="44">
        <f>INDEX(产销规划表!$B$5:$F$16,progress!D420+2,progress!C420)</f>
        <v>5</v>
      </c>
      <c r="I420" s="70" t="s">
        <v>3068</v>
      </c>
      <c r="J420" s="44">
        <v>250</v>
      </c>
    </row>
    <row r="421" spans="1:10" x14ac:dyDescent="0.15">
      <c r="A421" s="35">
        <v>1451</v>
      </c>
      <c r="B421" s="44" t="s">
        <v>1879</v>
      </c>
      <c r="C421" s="35">
        <f>INDEX(monster!$D$2:$D$700,MATCH(progress!A421,monster!$A$2:$A$700,0))</f>
        <v>3</v>
      </c>
      <c r="D421" s="35">
        <f>INDEX(monster!$E$2:$E$700,MATCH(progress!A421,monster!$A$2:$A$700,0))</f>
        <v>1</v>
      </c>
      <c r="E421" s="44">
        <f>INDEX(产销规划表!$G$5:$K$16,progress!D421+2,progress!C421)</f>
        <v>1500</v>
      </c>
      <c r="F421" s="70">
        <v>2</v>
      </c>
      <c r="G421" s="70" t="s">
        <v>2581</v>
      </c>
      <c r="H421" s="44">
        <f>INDEX(产销规划表!$B$5:$F$16,progress!D421+2,progress!C421)</f>
        <v>10</v>
      </c>
      <c r="I421" s="70" t="s">
        <v>3068</v>
      </c>
      <c r="J421" s="44">
        <v>500</v>
      </c>
    </row>
    <row r="422" spans="1:10" x14ac:dyDescent="0.15">
      <c r="A422" s="35">
        <v>1452</v>
      </c>
      <c r="B422" s="44" t="s">
        <v>504</v>
      </c>
      <c r="C422" s="35">
        <f>INDEX(monster!$D$2:$D$700,MATCH(progress!A422,monster!$A$2:$A$700,0))</f>
        <v>3</v>
      </c>
      <c r="D422" s="35">
        <f>INDEX(monster!$E$2:$E$700,MATCH(progress!A422,monster!$A$2:$A$700,0))</f>
        <v>2</v>
      </c>
      <c r="E422" s="44">
        <f>INDEX(产销规划表!$G$5:$K$16,progress!D422+2,progress!C422)</f>
        <v>4000</v>
      </c>
      <c r="F422" s="70">
        <v>2</v>
      </c>
      <c r="G422" s="70" t="s">
        <v>2581</v>
      </c>
      <c r="H422" s="44">
        <f>INDEX(产销规划表!$B$5:$F$16,progress!D422+2,progress!C422)</f>
        <v>20</v>
      </c>
      <c r="I422" s="70" t="s">
        <v>3068</v>
      </c>
      <c r="J422" s="44">
        <v>750</v>
      </c>
    </row>
    <row r="423" spans="1:10" x14ac:dyDescent="0.15">
      <c r="A423" s="35">
        <v>1453</v>
      </c>
      <c r="B423" s="44" t="s">
        <v>505</v>
      </c>
      <c r="C423" s="35">
        <f>INDEX(monster!$D$2:$D$700,MATCH(progress!A423,monster!$A$2:$A$700,0))</f>
        <v>3</v>
      </c>
      <c r="D423" s="35">
        <f>INDEX(monster!$E$2:$E$700,MATCH(progress!A423,monster!$A$2:$A$700,0))</f>
        <v>3</v>
      </c>
      <c r="E423" s="44">
        <f>INDEX(产销规划表!$G$5:$K$16,progress!D423+2,progress!C423)</f>
        <v>10000</v>
      </c>
      <c r="F423" s="70">
        <v>2</v>
      </c>
      <c r="G423" s="70" t="s">
        <v>2581</v>
      </c>
      <c r="H423" s="44">
        <f>INDEX(产销规划表!$B$5:$F$16,progress!D423+2,progress!C423)</f>
        <v>50</v>
      </c>
      <c r="I423" s="70" t="s">
        <v>3068</v>
      </c>
      <c r="J423" s="44">
        <v>1250</v>
      </c>
    </row>
    <row r="424" spans="1:10" x14ac:dyDescent="0.15">
      <c r="A424" s="35">
        <v>1454</v>
      </c>
      <c r="B424" s="44" t="s">
        <v>506</v>
      </c>
      <c r="C424" s="35">
        <f>INDEX(monster!$D$2:$D$700,MATCH(progress!A424,monster!$A$2:$A$700,0))</f>
        <v>3</v>
      </c>
      <c r="D424" s="35">
        <f>INDEX(monster!$E$2:$E$700,MATCH(progress!A424,monster!$A$2:$A$700,0))</f>
        <v>4</v>
      </c>
      <c r="E424" s="44">
        <f>INDEX(产销规划表!$G$5:$K$16,progress!D424+2,progress!C424)</f>
        <v>20000</v>
      </c>
      <c r="F424" s="70">
        <v>2</v>
      </c>
      <c r="G424" s="70" t="s">
        <v>2581</v>
      </c>
      <c r="H424" s="44">
        <f>INDEX(产销规划表!$B$5:$F$16,progress!D424+2,progress!C424)</f>
        <v>80</v>
      </c>
      <c r="I424" s="70" t="s">
        <v>3068</v>
      </c>
      <c r="J424" s="44">
        <v>2000</v>
      </c>
    </row>
    <row r="425" spans="1:10" x14ac:dyDescent="0.15">
      <c r="A425" s="35">
        <v>1455</v>
      </c>
      <c r="B425" s="44" t="s">
        <v>507</v>
      </c>
      <c r="C425" s="35">
        <f>INDEX(monster!$D$2:$D$700,MATCH(progress!A425,monster!$A$2:$A$700,0))</f>
        <v>3</v>
      </c>
      <c r="D425" s="35">
        <f>INDEX(monster!$E$2:$E$700,MATCH(progress!A425,monster!$A$2:$A$700,0))</f>
        <v>5</v>
      </c>
      <c r="E425" s="44">
        <f>INDEX(产销规划表!$G$5:$K$16,progress!D425+2,progress!C425)</f>
        <v>40000</v>
      </c>
      <c r="F425" s="70">
        <v>2</v>
      </c>
      <c r="G425" s="70" t="s">
        <v>2581</v>
      </c>
      <c r="H425" s="44">
        <f>INDEX(产销规划表!$B$5:$F$16,progress!D425+2,progress!C425)</f>
        <v>120</v>
      </c>
      <c r="I425" s="70" t="s">
        <v>3068</v>
      </c>
      <c r="J425" s="44">
        <v>3250</v>
      </c>
    </row>
    <row r="426" spans="1:10" x14ac:dyDescent="0.15">
      <c r="A426" s="35">
        <v>1456</v>
      </c>
      <c r="B426" s="44" t="s">
        <v>508</v>
      </c>
      <c r="C426" s="35">
        <f>INDEX(monster!$D$2:$D$700,MATCH(progress!A426,monster!$A$2:$A$700,0))</f>
        <v>3</v>
      </c>
      <c r="D426" s="35">
        <f>INDEX(monster!$E$2:$E$700,MATCH(progress!A426,monster!$A$2:$A$700,0))</f>
        <v>6</v>
      </c>
      <c r="E426" s="44">
        <f>INDEX(产销规划表!$G$5:$K$16,progress!D426+2,progress!C426)</f>
        <v>100000</v>
      </c>
      <c r="F426" s="70">
        <v>2</v>
      </c>
      <c r="G426" s="70" t="s">
        <v>2581</v>
      </c>
      <c r="H426" s="44">
        <f>INDEX(产销规划表!$B$5:$F$16,progress!D426+2,progress!C426)</f>
        <v>200</v>
      </c>
      <c r="I426" s="70" t="s">
        <v>3068</v>
      </c>
      <c r="J426" s="44">
        <v>5000</v>
      </c>
    </row>
    <row r="427" spans="1:10" x14ac:dyDescent="0.15">
      <c r="A427" s="35">
        <v>1457</v>
      </c>
      <c r="B427" s="44" t="s">
        <v>509</v>
      </c>
      <c r="C427" s="35">
        <f>INDEX(monster!$D$2:$D$700,MATCH(progress!A427,monster!$A$2:$A$700,0))</f>
        <v>3</v>
      </c>
      <c r="D427" s="35">
        <f>INDEX(monster!$E$2:$E$700,MATCH(progress!A427,monster!$A$2:$A$700,0))</f>
        <v>7</v>
      </c>
      <c r="E427" s="44">
        <f>INDEX(产销规划表!$G$5:$K$16,progress!D427+2,progress!C427)</f>
        <v>200000</v>
      </c>
      <c r="F427" s="70">
        <v>2</v>
      </c>
      <c r="G427" s="70" t="s">
        <v>2581</v>
      </c>
      <c r="H427" s="44">
        <f>INDEX(产销规划表!$B$5:$F$16,progress!D427+2,progress!C427)</f>
        <v>350</v>
      </c>
      <c r="I427" s="70" t="s">
        <v>3068</v>
      </c>
      <c r="J427" s="44">
        <v>7500</v>
      </c>
    </row>
    <row r="428" spans="1:10" x14ac:dyDescent="0.15">
      <c r="A428" s="35">
        <v>1458</v>
      </c>
      <c r="B428" s="44" t="s">
        <v>510</v>
      </c>
      <c r="C428" s="35">
        <f>INDEX(monster!$D$2:$D$700,MATCH(progress!A428,monster!$A$2:$A$700,0))</f>
        <v>3</v>
      </c>
      <c r="D428" s="35">
        <f>INDEX(monster!$E$2:$E$700,MATCH(progress!A428,monster!$A$2:$A$700,0))</f>
        <v>8</v>
      </c>
      <c r="E428" s="44">
        <f>INDEX(产销规划表!$G$5:$K$16,progress!D428+2,progress!C428)</f>
        <v>500000</v>
      </c>
      <c r="F428" s="70">
        <v>2</v>
      </c>
      <c r="G428" s="70" t="s">
        <v>2581</v>
      </c>
      <c r="H428" s="44">
        <f>INDEX(产销规划表!$B$5:$F$16,progress!D428+2,progress!C428)</f>
        <v>600</v>
      </c>
      <c r="I428" s="70" t="s">
        <v>3068</v>
      </c>
      <c r="J428" s="44">
        <v>11250</v>
      </c>
    </row>
    <row r="429" spans="1:10" x14ac:dyDescent="0.15">
      <c r="A429" s="35">
        <v>1459</v>
      </c>
      <c r="B429" s="44" t="s">
        <v>511</v>
      </c>
      <c r="C429" s="35">
        <f>INDEX(monster!$D$2:$D$700,MATCH(progress!A429,monster!$A$2:$A$700,0))</f>
        <v>3</v>
      </c>
      <c r="D429" s="35">
        <f>INDEX(monster!$E$2:$E$700,MATCH(progress!A429,monster!$A$2:$A$700,0))</f>
        <v>9</v>
      </c>
      <c r="E429" s="44">
        <f>INDEX(产销规划表!$G$5:$K$16,progress!D429+2,progress!C429)</f>
        <v>1000000</v>
      </c>
      <c r="F429" s="70">
        <v>2</v>
      </c>
      <c r="G429" s="70" t="s">
        <v>2581</v>
      </c>
      <c r="H429" s="44">
        <f>INDEX(产销规划表!$B$5:$F$16,progress!D429+2,progress!C429)</f>
        <v>1000</v>
      </c>
      <c r="I429" s="70" t="s">
        <v>3068</v>
      </c>
      <c r="J429" s="44">
        <v>18000</v>
      </c>
    </row>
    <row r="430" spans="1:10" x14ac:dyDescent="0.15">
      <c r="A430" s="35">
        <v>1460</v>
      </c>
      <c r="B430" s="44" t="s">
        <v>512</v>
      </c>
      <c r="C430" s="35">
        <f>INDEX(monster!$D$2:$D$700,MATCH(progress!A430,monster!$A$2:$A$700,0))</f>
        <v>3</v>
      </c>
      <c r="D430" s="35">
        <f>INDEX(monster!$E$2:$E$700,MATCH(progress!A430,monster!$A$2:$A$700,0))</f>
        <v>10</v>
      </c>
      <c r="E430" s="44">
        <f>INDEX(产销规划表!$G$5:$K$16,progress!D430+2,progress!C430)</f>
        <v>-1</v>
      </c>
      <c r="F430" s="70">
        <v>2</v>
      </c>
      <c r="G430" s="70" t="s">
        <v>2581</v>
      </c>
      <c r="H430" s="44">
        <f>INDEX(产销规划表!$B$5:$F$16,progress!D430+2,progress!C430)</f>
        <v>-1</v>
      </c>
      <c r="I430" s="70" t="s">
        <v>3068</v>
      </c>
      <c r="J430" s="44">
        <v>-1</v>
      </c>
    </row>
    <row r="431" spans="1:10" x14ac:dyDescent="0.15">
      <c r="A431" s="35">
        <v>1461</v>
      </c>
      <c r="B431" s="44" t="s">
        <v>1880</v>
      </c>
      <c r="C431" s="35">
        <f>INDEX(monster!$D$2:$D$700,MATCH(progress!A431,monster!$A$2:$A$700,0))</f>
        <v>4</v>
      </c>
      <c r="D431" s="35">
        <f>INDEX(monster!$E$2:$E$700,MATCH(progress!A431,monster!$A$2:$A$700,0))</f>
        <v>0</v>
      </c>
      <c r="E431" s="44">
        <f>INDEX(产销规划表!$G$5:$K$16,progress!D431+2,progress!C431)</f>
        <v>4000</v>
      </c>
      <c r="F431" s="70">
        <v>2</v>
      </c>
      <c r="G431" s="70" t="s">
        <v>2582</v>
      </c>
      <c r="H431" s="44">
        <f>INDEX(产销规划表!$B$5:$F$16,progress!D431+2,progress!C431)</f>
        <v>5</v>
      </c>
      <c r="I431" s="70" t="s">
        <v>3068</v>
      </c>
      <c r="J431" s="44">
        <v>625</v>
      </c>
    </row>
    <row r="432" spans="1:10" x14ac:dyDescent="0.15">
      <c r="A432" s="35">
        <v>1462</v>
      </c>
      <c r="B432" s="44" t="s">
        <v>1881</v>
      </c>
      <c r="C432" s="35">
        <f>INDEX(monster!$D$2:$D$700,MATCH(progress!A432,monster!$A$2:$A$700,0))</f>
        <v>4</v>
      </c>
      <c r="D432" s="35">
        <f>INDEX(monster!$E$2:$E$700,MATCH(progress!A432,monster!$A$2:$A$700,0))</f>
        <v>1</v>
      </c>
      <c r="E432" s="44">
        <f>INDEX(产销规划表!$G$5:$K$16,progress!D432+2,progress!C432)</f>
        <v>10000</v>
      </c>
      <c r="F432" s="70">
        <v>2</v>
      </c>
      <c r="G432" s="70" t="s">
        <v>2582</v>
      </c>
      <c r="H432" s="44">
        <f>INDEX(产销规划表!$B$5:$F$16,progress!D432+2,progress!C432)</f>
        <v>10</v>
      </c>
      <c r="I432" s="70" t="s">
        <v>3068</v>
      </c>
      <c r="J432" s="44">
        <v>1000</v>
      </c>
    </row>
    <row r="433" spans="1:10" x14ac:dyDescent="0.15">
      <c r="A433" s="35">
        <v>1463</v>
      </c>
      <c r="B433" s="44" t="s">
        <v>1882</v>
      </c>
      <c r="C433" s="35">
        <f>INDEX(monster!$D$2:$D$700,MATCH(progress!A433,monster!$A$2:$A$700,0))</f>
        <v>4</v>
      </c>
      <c r="D433" s="35">
        <f>INDEX(monster!$E$2:$E$700,MATCH(progress!A433,monster!$A$2:$A$700,0))</f>
        <v>2</v>
      </c>
      <c r="E433" s="44">
        <f>INDEX(产销规划表!$G$5:$K$16,progress!D433+2,progress!C433)</f>
        <v>20000</v>
      </c>
      <c r="F433" s="70">
        <v>2</v>
      </c>
      <c r="G433" s="70" t="s">
        <v>2582</v>
      </c>
      <c r="H433" s="44">
        <f>INDEX(产销规划表!$B$5:$F$16,progress!D433+2,progress!C433)</f>
        <v>20</v>
      </c>
      <c r="I433" s="70" t="s">
        <v>3068</v>
      </c>
      <c r="J433" s="44">
        <v>1500</v>
      </c>
    </row>
    <row r="434" spans="1:10" x14ac:dyDescent="0.15">
      <c r="A434" s="35">
        <v>1464</v>
      </c>
      <c r="B434" s="44" t="s">
        <v>1883</v>
      </c>
      <c r="C434" s="35">
        <f>INDEX(monster!$D$2:$D$700,MATCH(progress!A434,monster!$A$2:$A$700,0))</f>
        <v>4</v>
      </c>
      <c r="D434" s="35">
        <f>INDEX(monster!$E$2:$E$700,MATCH(progress!A434,monster!$A$2:$A$700,0))</f>
        <v>3</v>
      </c>
      <c r="E434" s="44">
        <f>INDEX(产销规划表!$G$5:$K$16,progress!D434+2,progress!C434)</f>
        <v>40000</v>
      </c>
      <c r="F434" s="70">
        <v>2</v>
      </c>
      <c r="G434" s="70" t="s">
        <v>2582</v>
      </c>
      <c r="H434" s="44">
        <f>INDEX(产销规划表!$B$5:$F$16,progress!D434+2,progress!C434)</f>
        <v>50</v>
      </c>
      <c r="I434" s="70" t="s">
        <v>3068</v>
      </c>
      <c r="J434" s="44">
        <v>2500</v>
      </c>
    </row>
    <row r="435" spans="1:10" x14ac:dyDescent="0.15">
      <c r="A435" s="35">
        <v>1465</v>
      </c>
      <c r="B435" s="44" t="s">
        <v>1884</v>
      </c>
      <c r="C435" s="35">
        <f>INDEX(monster!$D$2:$D$700,MATCH(progress!A435,monster!$A$2:$A$700,0))</f>
        <v>4</v>
      </c>
      <c r="D435" s="35">
        <f>INDEX(monster!$E$2:$E$700,MATCH(progress!A435,monster!$A$2:$A$700,0))</f>
        <v>4</v>
      </c>
      <c r="E435" s="44">
        <f>INDEX(产销规划表!$G$5:$K$16,progress!D435+2,progress!C435)</f>
        <v>100000</v>
      </c>
      <c r="F435" s="70">
        <v>2</v>
      </c>
      <c r="G435" s="70" t="s">
        <v>2582</v>
      </c>
      <c r="H435" s="44">
        <f>INDEX(产销规划表!$B$5:$F$16,progress!D435+2,progress!C435)</f>
        <v>80</v>
      </c>
      <c r="I435" s="70" t="s">
        <v>3068</v>
      </c>
      <c r="J435" s="44">
        <v>3750</v>
      </c>
    </row>
    <row r="436" spans="1:10" x14ac:dyDescent="0.15">
      <c r="A436" s="35">
        <v>1466</v>
      </c>
      <c r="B436" s="44" t="s">
        <v>1885</v>
      </c>
      <c r="C436" s="35">
        <f>INDEX(monster!$D$2:$D$700,MATCH(progress!A436,monster!$A$2:$A$700,0))</f>
        <v>4</v>
      </c>
      <c r="D436" s="35">
        <f>INDEX(monster!$E$2:$E$700,MATCH(progress!A436,monster!$A$2:$A$700,0))</f>
        <v>5</v>
      </c>
      <c r="E436" s="44">
        <f>INDEX(产销规划表!$G$5:$K$16,progress!D436+2,progress!C436)</f>
        <v>200000</v>
      </c>
      <c r="F436" s="70">
        <v>2</v>
      </c>
      <c r="G436" s="70" t="s">
        <v>2582</v>
      </c>
      <c r="H436" s="44">
        <f>INDEX(产销规划表!$B$5:$F$16,progress!D436+2,progress!C436)</f>
        <v>120</v>
      </c>
      <c r="I436" s="70" t="s">
        <v>3068</v>
      </c>
      <c r="J436" s="44">
        <v>6250</v>
      </c>
    </row>
    <row r="437" spans="1:10" x14ac:dyDescent="0.15">
      <c r="A437" s="35">
        <v>1467</v>
      </c>
      <c r="B437" s="44" t="s">
        <v>1886</v>
      </c>
      <c r="C437" s="35">
        <f>INDEX(monster!$D$2:$D$700,MATCH(progress!A437,monster!$A$2:$A$700,0))</f>
        <v>4</v>
      </c>
      <c r="D437" s="35">
        <f>INDEX(monster!$E$2:$E$700,MATCH(progress!A437,monster!$A$2:$A$700,0))</f>
        <v>6</v>
      </c>
      <c r="E437" s="44">
        <f>INDEX(产销规划表!$G$5:$K$16,progress!D437+2,progress!C437)</f>
        <v>500000</v>
      </c>
      <c r="F437" s="70">
        <v>2</v>
      </c>
      <c r="G437" s="70" t="s">
        <v>2582</v>
      </c>
      <c r="H437" s="44">
        <f>INDEX(产销规划表!$B$5:$F$16,progress!D437+2,progress!C437)</f>
        <v>200</v>
      </c>
      <c r="I437" s="70" t="s">
        <v>3068</v>
      </c>
      <c r="J437" s="44">
        <v>10000</v>
      </c>
    </row>
    <row r="438" spans="1:10" x14ac:dyDescent="0.15">
      <c r="A438" s="35">
        <v>1468</v>
      </c>
      <c r="B438" s="44" t="s">
        <v>1887</v>
      </c>
      <c r="C438" s="35">
        <f>INDEX(monster!$D$2:$D$700,MATCH(progress!A438,monster!$A$2:$A$700,0))</f>
        <v>4</v>
      </c>
      <c r="D438" s="35">
        <f>INDEX(monster!$E$2:$E$700,MATCH(progress!A438,monster!$A$2:$A$700,0))</f>
        <v>7</v>
      </c>
      <c r="E438" s="44">
        <f>INDEX(产销规划表!$G$5:$K$16,progress!D438+2,progress!C438)</f>
        <v>1000000</v>
      </c>
      <c r="F438" s="70">
        <v>2</v>
      </c>
      <c r="G438" s="70" t="s">
        <v>2582</v>
      </c>
      <c r="H438" s="44">
        <f>INDEX(产销规划表!$B$5:$F$16,progress!D438+2,progress!C438)</f>
        <v>350</v>
      </c>
      <c r="I438" s="70" t="s">
        <v>3068</v>
      </c>
      <c r="J438" s="44">
        <v>15000</v>
      </c>
    </row>
    <row r="439" spans="1:10" x14ac:dyDescent="0.15">
      <c r="A439" s="35">
        <v>1469</v>
      </c>
      <c r="B439" s="44" t="s">
        <v>1888</v>
      </c>
      <c r="C439" s="35">
        <f>INDEX(monster!$D$2:$D$700,MATCH(progress!A439,monster!$A$2:$A$700,0))</f>
        <v>4</v>
      </c>
      <c r="D439" s="35">
        <f>INDEX(monster!$E$2:$E$700,MATCH(progress!A439,monster!$A$2:$A$700,0))</f>
        <v>8</v>
      </c>
      <c r="E439" s="44">
        <f>INDEX(产销规划表!$G$5:$K$16,progress!D439+2,progress!C439)</f>
        <v>2000000</v>
      </c>
      <c r="F439" s="70">
        <v>2</v>
      </c>
      <c r="G439" s="70" t="s">
        <v>2582</v>
      </c>
      <c r="H439" s="44">
        <f>INDEX(产销规划表!$B$5:$F$16,progress!D439+2,progress!C439)</f>
        <v>600</v>
      </c>
      <c r="I439" s="70" t="s">
        <v>3068</v>
      </c>
      <c r="J439" s="44">
        <v>22500</v>
      </c>
    </row>
    <row r="440" spans="1:10" x14ac:dyDescent="0.15">
      <c r="A440" s="35">
        <v>1470</v>
      </c>
      <c r="B440" s="44" t="s">
        <v>1889</v>
      </c>
      <c r="C440" s="35">
        <f>INDEX(monster!$D$2:$D$700,MATCH(progress!A440,monster!$A$2:$A$700,0))</f>
        <v>4</v>
      </c>
      <c r="D440" s="35">
        <f>INDEX(monster!$E$2:$E$700,MATCH(progress!A440,monster!$A$2:$A$700,0))</f>
        <v>9</v>
      </c>
      <c r="E440" s="44">
        <f>INDEX(产销规划表!$G$5:$K$16,progress!D440+2,progress!C440)</f>
        <v>5000000</v>
      </c>
      <c r="F440" s="70">
        <v>2</v>
      </c>
      <c r="G440" s="70" t="s">
        <v>2582</v>
      </c>
      <c r="H440" s="44">
        <f>INDEX(产销规划表!$B$5:$F$16,progress!D440+2,progress!C440)</f>
        <v>1000</v>
      </c>
      <c r="I440" s="70" t="s">
        <v>3068</v>
      </c>
      <c r="J440" s="44">
        <v>35000</v>
      </c>
    </row>
    <row r="441" spans="1:10" x14ac:dyDescent="0.15">
      <c r="A441" s="35">
        <v>1471</v>
      </c>
      <c r="B441" s="44" t="s">
        <v>1890</v>
      </c>
      <c r="C441" s="35">
        <f>INDEX(monster!$D$2:$D$700,MATCH(progress!A441,monster!$A$2:$A$700,0))</f>
        <v>4</v>
      </c>
      <c r="D441" s="35">
        <f>INDEX(monster!$E$2:$E$700,MATCH(progress!A441,monster!$A$2:$A$700,0))</f>
        <v>10</v>
      </c>
      <c r="E441" s="44">
        <f>INDEX(产销规划表!$G$5:$K$16,progress!D441+2,progress!C441)</f>
        <v>-1</v>
      </c>
      <c r="F441" s="70">
        <v>2</v>
      </c>
      <c r="G441" s="70" t="s">
        <v>2582</v>
      </c>
      <c r="H441" s="44">
        <f>INDEX(产销规划表!$B$5:$F$16,progress!D441+2,progress!C441)</f>
        <v>-1</v>
      </c>
      <c r="I441" s="70" t="s">
        <v>3068</v>
      </c>
      <c r="J441" s="44">
        <v>-1</v>
      </c>
    </row>
    <row r="442" spans="1:10" x14ac:dyDescent="0.15">
      <c r="A442" s="35">
        <v>1472</v>
      </c>
      <c r="B442" s="44" t="s">
        <v>513</v>
      </c>
      <c r="C442" s="35">
        <f>INDEX(monster!$D$2:$D$700,MATCH(progress!A442,monster!$A$2:$A$700,0))</f>
        <v>5</v>
      </c>
      <c r="D442" s="35">
        <f>INDEX(monster!$E$2:$E$700,MATCH(progress!A442,monster!$A$2:$A$700,0))</f>
        <v>0</v>
      </c>
      <c r="E442" s="44">
        <f>INDEX(产销规划表!$G$5:$K$16,progress!D442+2,progress!C442)</f>
        <v>40000</v>
      </c>
      <c r="F442" s="70">
        <v>2</v>
      </c>
      <c r="G442" s="70" t="s">
        <v>2583</v>
      </c>
      <c r="H442" s="44">
        <f>INDEX(产销规划表!$B$5:$F$16,progress!D442+2,progress!C442)</f>
        <v>5</v>
      </c>
      <c r="I442" s="70" t="s">
        <v>3068</v>
      </c>
      <c r="J442" s="44">
        <v>2500</v>
      </c>
    </row>
    <row r="443" spans="1:10" x14ac:dyDescent="0.15">
      <c r="A443" s="35">
        <v>1473</v>
      </c>
      <c r="B443" s="44" t="s">
        <v>514</v>
      </c>
      <c r="C443" s="35">
        <f>INDEX(monster!$D$2:$D$700,MATCH(progress!A443,monster!$A$2:$A$700,0))</f>
        <v>5</v>
      </c>
      <c r="D443" s="35">
        <f>INDEX(monster!$E$2:$E$700,MATCH(progress!A443,monster!$A$2:$A$700,0))</f>
        <v>1</v>
      </c>
      <c r="E443" s="44">
        <f>INDEX(产销规划表!$G$5:$K$16,progress!D443+2,progress!C443)</f>
        <v>100000</v>
      </c>
      <c r="F443" s="70">
        <v>2</v>
      </c>
      <c r="G443" s="70" t="s">
        <v>2583</v>
      </c>
      <c r="H443" s="44">
        <f>INDEX(产销规划表!$B$5:$F$16,progress!D443+2,progress!C443)</f>
        <v>10</v>
      </c>
      <c r="I443" s="70" t="s">
        <v>3068</v>
      </c>
      <c r="J443" s="44">
        <v>4500</v>
      </c>
    </row>
    <row r="444" spans="1:10" x14ac:dyDescent="0.15">
      <c r="A444" s="35">
        <v>1474</v>
      </c>
      <c r="B444" s="44" t="s">
        <v>515</v>
      </c>
      <c r="C444" s="35">
        <f>INDEX(monster!$D$2:$D$700,MATCH(progress!A444,monster!$A$2:$A$700,0))</f>
        <v>5</v>
      </c>
      <c r="D444" s="35">
        <f>INDEX(monster!$E$2:$E$700,MATCH(progress!A444,monster!$A$2:$A$700,0))</f>
        <v>2</v>
      </c>
      <c r="E444" s="44">
        <f>INDEX(产销规划表!$G$5:$K$16,progress!D444+2,progress!C444)</f>
        <v>200000</v>
      </c>
      <c r="F444" s="70">
        <v>2</v>
      </c>
      <c r="G444" s="70" t="s">
        <v>2583</v>
      </c>
      <c r="H444" s="44">
        <f>INDEX(产销规划表!$B$5:$F$16,progress!D444+2,progress!C444)</f>
        <v>20</v>
      </c>
      <c r="I444" s="70" t="s">
        <v>3068</v>
      </c>
      <c r="J444" s="44">
        <v>6750</v>
      </c>
    </row>
    <row r="445" spans="1:10" x14ac:dyDescent="0.15">
      <c r="A445" s="35">
        <v>1475</v>
      </c>
      <c r="B445" s="44" t="s">
        <v>516</v>
      </c>
      <c r="C445" s="35">
        <f>INDEX(monster!$D$2:$D$700,MATCH(progress!A445,monster!$A$2:$A$700,0))</f>
        <v>5</v>
      </c>
      <c r="D445" s="35">
        <f>INDEX(monster!$E$2:$E$700,MATCH(progress!A445,monster!$A$2:$A$700,0))</f>
        <v>3</v>
      </c>
      <c r="E445" s="44">
        <f>INDEX(产销规划表!$G$5:$K$16,progress!D445+2,progress!C445)</f>
        <v>500000</v>
      </c>
      <c r="F445" s="70">
        <v>2</v>
      </c>
      <c r="G445" s="70" t="s">
        <v>2583</v>
      </c>
      <c r="H445" s="44">
        <f>INDEX(产销规划表!$B$5:$F$16,progress!D445+2,progress!C445)</f>
        <v>50</v>
      </c>
      <c r="I445" s="70" t="s">
        <v>3068</v>
      </c>
      <c r="J445" s="44">
        <v>11250</v>
      </c>
    </row>
    <row r="446" spans="1:10" x14ac:dyDescent="0.15">
      <c r="A446" s="35">
        <v>1476</v>
      </c>
      <c r="B446" s="44" t="s">
        <v>517</v>
      </c>
      <c r="C446" s="35">
        <f>INDEX(monster!$D$2:$D$700,MATCH(progress!A446,monster!$A$2:$A$700,0))</f>
        <v>5</v>
      </c>
      <c r="D446" s="35">
        <f>INDEX(monster!$E$2:$E$700,MATCH(progress!A446,monster!$A$2:$A$700,0))</f>
        <v>4</v>
      </c>
      <c r="E446" s="44">
        <f>INDEX(产销规划表!$G$5:$K$16,progress!D446+2,progress!C446)</f>
        <v>1000000</v>
      </c>
      <c r="F446" s="70">
        <v>2</v>
      </c>
      <c r="G446" s="70" t="s">
        <v>2583</v>
      </c>
      <c r="H446" s="44">
        <f>INDEX(产销规划表!$B$5:$F$16,progress!D446+2,progress!C446)</f>
        <v>80</v>
      </c>
      <c r="I446" s="70" t="s">
        <v>3068</v>
      </c>
      <c r="J446" s="44">
        <v>16250</v>
      </c>
    </row>
    <row r="447" spans="1:10" x14ac:dyDescent="0.15">
      <c r="A447" s="35">
        <v>1477</v>
      </c>
      <c r="B447" s="44" t="s">
        <v>518</v>
      </c>
      <c r="C447" s="35">
        <f>INDEX(monster!$D$2:$D$700,MATCH(progress!A447,monster!$A$2:$A$700,0))</f>
        <v>5</v>
      </c>
      <c r="D447" s="35">
        <f>INDEX(monster!$E$2:$E$700,MATCH(progress!A447,monster!$A$2:$A$700,0))</f>
        <v>5</v>
      </c>
      <c r="E447" s="44">
        <f>INDEX(产销规划表!$G$5:$K$16,progress!D447+2,progress!C447)</f>
        <v>2000000</v>
      </c>
      <c r="F447" s="70">
        <v>2</v>
      </c>
      <c r="G447" s="70" t="s">
        <v>2583</v>
      </c>
      <c r="H447" s="44">
        <f>INDEX(产销规划表!$B$5:$F$16,progress!D447+2,progress!C447)</f>
        <v>120</v>
      </c>
      <c r="I447" s="70" t="s">
        <v>3068</v>
      </c>
      <c r="J447" s="44">
        <v>30000</v>
      </c>
    </row>
    <row r="448" spans="1:10" x14ac:dyDescent="0.15">
      <c r="A448" s="35">
        <v>1478</v>
      </c>
      <c r="B448" s="44" t="s">
        <v>519</v>
      </c>
      <c r="C448" s="35">
        <f>INDEX(monster!$D$2:$D$700,MATCH(progress!A448,monster!$A$2:$A$700,0))</f>
        <v>5</v>
      </c>
      <c r="D448" s="35">
        <f>INDEX(monster!$E$2:$E$700,MATCH(progress!A448,monster!$A$2:$A$700,0))</f>
        <v>6</v>
      </c>
      <c r="E448" s="44">
        <f>INDEX(产销规划表!$G$5:$K$16,progress!D448+2,progress!C448)</f>
        <v>5000000</v>
      </c>
      <c r="F448" s="70">
        <v>2</v>
      </c>
      <c r="G448" s="70" t="s">
        <v>2583</v>
      </c>
      <c r="H448" s="44">
        <f>INDEX(产销规划表!$B$5:$F$16,progress!D448+2,progress!C448)</f>
        <v>200</v>
      </c>
      <c r="I448" s="70" t="s">
        <v>3068</v>
      </c>
      <c r="J448" s="44">
        <v>45000</v>
      </c>
    </row>
    <row r="449" spans="1:10" x14ac:dyDescent="0.15">
      <c r="A449" s="35">
        <v>1479</v>
      </c>
      <c r="B449" s="44" t="s">
        <v>520</v>
      </c>
      <c r="C449" s="35">
        <f>INDEX(monster!$D$2:$D$700,MATCH(progress!A449,monster!$A$2:$A$700,0))</f>
        <v>5</v>
      </c>
      <c r="D449" s="35">
        <f>INDEX(monster!$E$2:$E$700,MATCH(progress!A449,monster!$A$2:$A$700,0))</f>
        <v>7</v>
      </c>
      <c r="E449" s="44">
        <f>INDEX(产销规划表!$G$5:$K$16,progress!D449+2,progress!C449)</f>
        <v>10000000</v>
      </c>
      <c r="F449" s="70">
        <v>2</v>
      </c>
      <c r="G449" s="70" t="s">
        <v>2583</v>
      </c>
      <c r="H449" s="44">
        <f>INDEX(产销规划表!$B$5:$F$16,progress!D449+2,progress!C449)</f>
        <v>350</v>
      </c>
      <c r="I449" s="70" t="s">
        <v>3068</v>
      </c>
      <c r="J449" s="44">
        <v>67500</v>
      </c>
    </row>
    <row r="450" spans="1:10" x14ac:dyDescent="0.15">
      <c r="A450" s="35">
        <v>1480</v>
      </c>
      <c r="B450" s="44" t="s">
        <v>521</v>
      </c>
      <c r="C450" s="35">
        <f>INDEX(monster!$D$2:$D$700,MATCH(progress!A450,monster!$A$2:$A$700,0))</f>
        <v>5</v>
      </c>
      <c r="D450" s="35">
        <f>INDEX(monster!$E$2:$E$700,MATCH(progress!A450,monster!$A$2:$A$700,0))</f>
        <v>8</v>
      </c>
      <c r="E450" s="44">
        <f>INDEX(产销规划表!$G$5:$K$16,progress!D450+2,progress!C450)</f>
        <v>20000000</v>
      </c>
      <c r="F450" s="70">
        <v>2</v>
      </c>
      <c r="G450" s="70" t="s">
        <v>2583</v>
      </c>
      <c r="H450" s="44">
        <f>INDEX(产销规划表!$B$5:$F$16,progress!D450+2,progress!C450)</f>
        <v>600</v>
      </c>
      <c r="I450" s="70" t="s">
        <v>3068</v>
      </c>
      <c r="J450" s="44">
        <v>100000</v>
      </c>
    </row>
    <row r="451" spans="1:10" x14ac:dyDescent="0.15">
      <c r="A451" s="35">
        <v>1481</v>
      </c>
      <c r="B451" s="44" t="s">
        <v>522</v>
      </c>
      <c r="C451" s="35">
        <f>INDEX(monster!$D$2:$D$700,MATCH(progress!A451,monster!$A$2:$A$700,0))</f>
        <v>5</v>
      </c>
      <c r="D451" s="35">
        <f>INDEX(monster!$E$2:$E$700,MATCH(progress!A451,monster!$A$2:$A$700,0))</f>
        <v>9</v>
      </c>
      <c r="E451" s="44">
        <f>INDEX(产销规划表!$G$5:$K$16,progress!D451+2,progress!C451)</f>
        <v>50000000</v>
      </c>
      <c r="F451" s="70">
        <v>2</v>
      </c>
      <c r="G451" s="70" t="s">
        <v>2583</v>
      </c>
      <c r="H451" s="44">
        <f>INDEX(产销规划表!$B$5:$F$16,progress!D451+2,progress!C451)</f>
        <v>1000</v>
      </c>
      <c r="I451" s="70" t="s">
        <v>3068</v>
      </c>
      <c r="J451" s="44">
        <v>150000</v>
      </c>
    </row>
    <row r="452" spans="1:10" x14ac:dyDescent="0.15">
      <c r="A452" s="35">
        <v>1482</v>
      </c>
      <c r="B452" s="44" t="s">
        <v>523</v>
      </c>
      <c r="C452" s="35">
        <f>INDEX(monster!$D$2:$D$700,MATCH(progress!A452,monster!$A$2:$A$700,0))</f>
        <v>5</v>
      </c>
      <c r="D452" s="35">
        <f>INDEX(monster!$E$2:$E$700,MATCH(progress!A452,monster!$A$2:$A$700,0))</f>
        <v>10</v>
      </c>
      <c r="E452" s="44">
        <f>INDEX(产销规划表!$G$5:$K$16,progress!D452+2,progress!C452)</f>
        <v>-1</v>
      </c>
      <c r="F452" s="70">
        <v>2</v>
      </c>
      <c r="G452" s="70" t="s">
        <v>2583</v>
      </c>
      <c r="H452" s="44">
        <f>INDEX(产销规划表!$B$5:$F$16,progress!D452+2,progress!C452)</f>
        <v>-1</v>
      </c>
      <c r="I452" s="70" t="s">
        <v>3068</v>
      </c>
      <c r="J452" s="44">
        <v>-1</v>
      </c>
    </row>
    <row r="453" spans="1:10" x14ac:dyDescent="0.15">
      <c r="A453" s="35">
        <v>1484</v>
      </c>
      <c r="B453" s="44" t="s">
        <v>1891</v>
      </c>
      <c r="C453" s="35">
        <f>INDEX(monster!$D$2:$D$700,MATCH(progress!A453,monster!$A$2:$A$700,0))</f>
        <v>1</v>
      </c>
      <c r="D453" s="35">
        <f>INDEX(monster!$E$2:$E$700,MATCH(progress!A453,monster!$A$2:$A$700,0))</f>
        <v>0</v>
      </c>
      <c r="E453" s="44">
        <f>INDEX(产销规划表!$G$5:$K$16,progress!D453+2,progress!C453)</f>
        <v>100</v>
      </c>
      <c r="F453" s="70">
        <v>2</v>
      </c>
      <c r="G453" s="70" t="s">
        <v>2584</v>
      </c>
      <c r="H453" s="44">
        <f>INDEX(产销规划表!$B$5:$F$16,progress!D453+2,progress!C453)</f>
        <v>5</v>
      </c>
      <c r="I453" s="70" t="s">
        <v>3068</v>
      </c>
      <c r="J453" s="44">
        <v>125</v>
      </c>
    </row>
    <row r="454" spans="1:10" x14ac:dyDescent="0.15">
      <c r="A454" s="35">
        <v>1485</v>
      </c>
      <c r="B454" s="44" t="s">
        <v>1892</v>
      </c>
      <c r="C454" s="35">
        <f>INDEX(monster!$D$2:$D$700,MATCH(progress!A454,monster!$A$2:$A$700,0))</f>
        <v>1</v>
      </c>
      <c r="D454" s="35">
        <f>INDEX(monster!$E$2:$E$700,MATCH(progress!A454,monster!$A$2:$A$700,0))</f>
        <v>1</v>
      </c>
      <c r="E454" s="44">
        <f>INDEX(产销规划表!$G$5:$K$16,progress!D454+2,progress!C454)</f>
        <v>200</v>
      </c>
      <c r="F454" s="70">
        <v>2</v>
      </c>
      <c r="G454" s="70" t="s">
        <v>2584</v>
      </c>
      <c r="H454" s="44">
        <f>INDEX(产销规划表!$B$5:$F$16,progress!D454+2,progress!C454)</f>
        <v>10</v>
      </c>
      <c r="I454" s="70" t="s">
        <v>3068</v>
      </c>
      <c r="J454" s="44">
        <v>250</v>
      </c>
    </row>
    <row r="455" spans="1:10" x14ac:dyDescent="0.15">
      <c r="A455" s="35">
        <v>1486</v>
      </c>
      <c r="B455" s="44" t="s">
        <v>524</v>
      </c>
      <c r="C455" s="35">
        <f>INDEX(monster!$D$2:$D$700,MATCH(progress!A455,monster!$A$2:$A$700,0))</f>
        <v>1</v>
      </c>
      <c r="D455" s="35">
        <f>INDEX(monster!$E$2:$E$700,MATCH(progress!A455,monster!$A$2:$A$700,0))</f>
        <v>2</v>
      </c>
      <c r="E455" s="44">
        <f>INDEX(产销规划表!$G$5:$K$16,progress!D455+2,progress!C455)</f>
        <v>500</v>
      </c>
      <c r="F455" s="70">
        <v>2</v>
      </c>
      <c r="G455" s="70" t="s">
        <v>2584</v>
      </c>
      <c r="H455" s="44">
        <f>INDEX(产销规划表!$B$5:$F$16,progress!D455+2,progress!C455)</f>
        <v>20</v>
      </c>
      <c r="I455" s="70" t="s">
        <v>3068</v>
      </c>
      <c r="J455" s="44">
        <v>375</v>
      </c>
    </row>
    <row r="456" spans="1:10" x14ac:dyDescent="0.15">
      <c r="A456" s="35">
        <v>1487</v>
      </c>
      <c r="B456" s="44" t="s">
        <v>525</v>
      </c>
      <c r="C456" s="35">
        <f>INDEX(monster!$D$2:$D$700,MATCH(progress!A456,monster!$A$2:$A$700,0))</f>
        <v>1</v>
      </c>
      <c r="D456" s="35">
        <f>INDEX(monster!$E$2:$E$700,MATCH(progress!A456,monster!$A$2:$A$700,0))</f>
        <v>3</v>
      </c>
      <c r="E456" s="44">
        <f>INDEX(产销规划表!$G$5:$K$16,progress!D456+2,progress!C456)</f>
        <v>1500</v>
      </c>
      <c r="F456" s="70">
        <v>2</v>
      </c>
      <c r="G456" s="70" t="s">
        <v>2584</v>
      </c>
      <c r="H456" s="44">
        <f>INDEX(产销规划表!$B$5:$F$16,progress!D456+2,progress!C456)</f>
        <v>50</v>
      </c>
      <c r="I456" s="70" t="s">
        <v>3068</v>
      </c>
      <c r="J456" s="44">
        <v>625</v>
      </c>
    </row>
    <row r="457" spans="1:10" x14ac:dyDescent="0.15">
      <c r="A457" s="35">
        <v>1488</v>
      </c>
      <c r="B457" s="44" t="s">
        <v>526</v>
      </c>
      <c r="C457" s="35">
        <f>INDEX(monster!$D$2:$D$700,MATCH(progress!A457,monster!$A$2:$A$700,0))</f>
        <v>1</v>
      </c>
      <c r="D457" s="35">
        <f>INDEX(monster!$E$2:$E$700,MATCH(progress!A457,monster!$A$2:$A$700,0))</f>
        <v>4</v>
      </c>
      <c r="E457" s="44">
        <f>INDEX(产销规划表!$G$5:$K$16,progress!D457+2,progress!C457)</f>
        <v>4000</v>
      </c>
      <c r="F457" s="70">
        <v>2</v>
      </c>
      <c r="G457" s="70" t="s">
        <v>2584</v>
      </c>
      <c r="H457" s="44">
        <f>INDEX(产销规划表!$B$5:$F$16,progress!D457+2,progress!C457)</f>
        <v>80</v>
      </c>
      <c r="I457" s="70" t="s">
        <v>3068</v>
      </c>
      <c r="J457" s="44">
        <v>1000</v>
      </c>
    </row>
    <row r="458" spans="1:10" x14ac:dyDescent="0.15">
      <c r="A458" s="35">
        <v>1489</v>
      </c>
      <c r="B458" s="44" t="s">
        <v>527</v>
      </c>
      <c r="C458" s="35">
        <f>INDEX(monster!$D$2:$D$700,MATCH(progress!A458,monster!$A$2:$A$700,0))</f>
        <v>1</v>
      </c>
      <c r="D458" s="35">
        <f>INDEX(monster!$E$2:$E$700,MATCH(progress!A458,monster!$A$2:$A$700,0))</f>
        <v>5</v>
      </c>
      <c r="E458" s="44">
        <f>INDEX(产销规划表!$G$5:$K$16,progress!D458+2,progress!C458)</f>
        <v>10000</v>
      </c>
      <c r="F458" s="70">
        <v>2</v>
      </c>
      <c r="G458" s="70" t="s">
        <v>2584</v>
      </c>
      <c r="H458" s="44">
        <f>INDEX(产销规划表!$B$5:$F$16,progress!D458+2,progress!C458)</f>
        <v>120</v>
      </c>
      <c r="I458" s="70" t="s">
        <v>3068</v>
      </c>
      <c r="J458" s="44">
        <v>1625</v>
      </c>
    </row>
    <row r="459" spans="1:10" x14ac:dyDescent="0.15">
      <c r="A459" s="35">
        <v>1490</v>
      </c>
      <c r="B459" s="44" t="s">
        <v>528</v>
      </c>
      <c r="C459" s="35">
        <f>INDEX(monster!$D$2:$D$700,MATCH(progress!A459,monster!$A$2:$A$700,0))</f>
        <v>1</v>
      </c>
      <c r="D459" s="35">
        <f>INDEX(monster!$E$2:$E$700,MATCH(progress!A459,monster!$A$2:$A$700,0))</f>
        <v>6</v>
      </c>
      <c r="E459" s="44">
        <f>INDEX(产销规划表!$G$5:$K$16,progress!D459+2,progress!C459)</f>
        <v>20000</v>
      </c>
      <c r="F459" s="70">
        <v>2</v>
      </c>
      <c r="G459" s="70" t="s">
        <v>2584</v>
      </c>
      <c r="H459" s="44">
        <f>INDEX(产销规划表!$B$5:$F$16,progress!D459+2,progress!C459)</f>
        <v>200</v>
      </c>
      <c r="I459" s="70" t="s">
        <v>3068</v>
      </c>
      <c r="J459" s="44">
        <v>2500</v>
      </c>
    </row>
    <row r="460" spans="1:10" x14ac:dyDescent="0.15">
      <c r="A460" s="35">
        <v>1491</v>
      </c>
      <c r="B460" s="44" t="s">
        <v>529</v>
      </c>
      <c r="C460" s="35">
        <f>INDEX(monster!$D$2:$D$700,MATCH(progress!A460,monster!$A$2:$A$700,0))</f>
        <v>1</v>
      </c>
      <c r="D460" s="35">
        <f>INDEX(monster!$E$2:$E$700,MATCH(progress!A460,monster!$A$2:$A$700,0))</f>
        <v>7</v>
      </c>
      <c r="E460" s="44">
        <f>INDEX(产销规划表!$G$5:$K$16,progress!D460+2,progress!C460)</f>
        <v>40000</v>
      </c>
      <c r="F460" s="70">
        <v>2</v>
      </c>
      <c r="G460" s="70" t="s">
        <v>2584</v>
      </c>
      <c r="H460" s="44">
        <f>INDEX(产销规划表!$B$5:$F$16,progress!D460+2,progress!C460)</f>
        <v>350</v>
      </c>
      <c r="I460" s="70" t="s">
        <v>3068</v>
      </c>
      <c r="J460" s="44">
        <v>3750</v>
      </c>
    </row>
    <row r="461" spans="1:10" x14ac:dyDescent="0.15">
      <c r="A461" s="35">
        <v>1492</v>
      </c>
      <c r="B461" s="44" t="s">
        <v>530</v>
      </c>
      <c r="C461" s="35">
        <f>INDEX(monster!$D$2:$D$700,MATCH(progress!A461,monster!$A$2:$A$700,0))</f>
        <v>1</v>
      </c>
      <c r="D461" s="35">
        <f>INDEX(monster!$E$2:$E$700,MATCH(progress!A461,monster!$A$2:$A$700,0))</f>
        <v>8</v>
      </c>
      <c r="E461" s="44">
        <f>INDEX(产销规划表!$G$5:$K$16,progress!D461+2,progress!C461)</f>
        <v>100000</v>
      </c>
      <c r="F461" s="70">
        <v>2</v>
      </c>
      <c r="G461" s="70" t="s">
        <v>2584</v>
      </c>
      <c r="H461" s="44">
        <f>INDEX(产销规划表!$B$5:$F$16,progress!D461+2,progress!C461)</f>
        <v>600</v>
      </c>
      <c r="I461" s="70" t="s">
        <v>3068</v>
      </c>
      <c r="J461" s="44">
        <v>5750</v>
      </c>
    </row>
    <row r="462" spans="1:10" x14ac:dyDescent="0.15">
      <c r="A462" s="35">
        <v>1493</v>
      </c>
      <c r="B462" s="44" t="s">
        <v>531</v>
      </c>
      <c r="C462" s="35">
        <f>INDEX(monster!$D$2:$D$700,MATCH(progress!A462,monster!$A$2:$A$700,0))</f>
        <v>1</v>
      </c>
      <c r="D462" s="35">
        <f>INDEX(monster!$E$2:$E$700,MATCH(progress!A462,monster!$A$2:$A$700,0))</f>
        <v>9</v>
      </c>
      <c r="E462" s="44">
        <f>INDEX(产销规划表!$G$5:$K$16,progress!D462+2,progress!C462)</f>
        <v>200000</v>
      </c>
      <c r="F462" s="70">
        <v>2</v>
      </c>
      <c r="G462" s="70" t="s">
        <v>2584</v>
      </c>
      <c r="H462" s="44">
        <f>INDEX(产销规划表!$B$5:$F$16,progress!D462+2,progress!C462)</f>
        <v>1000</v>
      </c>
      <c r="I462" s="70" t="s">
        <v>3068</v>
      </c>
      <c r="J462" s="44">
        <v>9000</v>
      </c>
    </row>
    <row r="463" spans="1:10" x14ac:dyDescent="0.15">
      <c r="A463" s="35">
        <v>1494</v>
      </c>
      <c r="B463" s="44" t="s">
        <v>532</v>
      </c>
      <c r="C463" s="35">
        <f>INDEX(monster!$D$2:$D$700,MATCH(progress!A463,monster!$A$2:$A$700,0))</f>
        <v>1</v>
      </c>
      <c r="D463" s="35">
        <f>INDEX(monster!$E$2:$E$700,MATCH(progress!A463,monster!$A$2:$A$700,0))</f>
        <v>10</v>
      </c>
      <c r="E463" s="44">
        <f>INDEX(产销规划表!$G$5:$K$16,progress!D463+2,progress!C463)</f>
        <v>-1</v>
      </c>
      <c r="F463" s="70">
        <v>2</v>
      </c>
      <c r="G463" s="70" t="s">
        <v>2584</v>
      </c>
      <c r="H463" s="44">
        <f>INDEX(产销规划表!$B$5:$F$16,progress!D463+2,progress!C463)</f>
        <v>-1</v>
      </c>
      <c r="I463" s="70" t="s">
        <v>3068</v>
      </c>
      <c r="J463" s="44">
        <v>-1</v>
      </c>
    </row>
    <row r="464" spans="1:10" x14ac:dyDescent="0.15">
      <c r="A464" s="35">
        <v>1495</v>
      </c>
      <c r="B464" s="44" t="s">
        <v>1893</v>
      </c>
      <c r="C464" s="35">
        <f>INDEX(monster!$D$2:$D$700,MATCH(progress!A464,monster!$A$2:$A$700,0))</f>
        <v>1</v>
      </c>
      <c r="D464" s="35">
        <f>INDEX(monster!$E$2:$E$700,MATCH(progress!A464,monster!$A$2:$A$700,0))</f>
        <v>0</v>
      </c>
      <c r="E464" s="44">
        <f>INDEX(产销规划表!$G$5:$K$16,progress!D464+2,progress!C464)</f>
        <v>100</v>
      </c>
      <c r="F464" s="70">
        <v>2</v>
      </c>
      <c r="G464" s="70" t="s">
        <v>2585</v>
      </c>
      <c r="H464" s="44">
        <f>INDEX(产销规划表!$B$5:$F$16,progress!D464+2,progress!C464)</f>
        <v>5</v>
      </c>
      <c r="I464" s="70" t="s">
        <v>3068</v>
      </c>
      <c r="J464" s="44">
        <v>125</v>
      </c>
    </row>
    <row r="465" spans="1:10" x14ac:dyDescent="0.15">
      <c r="A465" s="35">
        <v>1496</v>
      </c>
      <c r="B465" s="44" t="s">
        <v>1894</v>
      </c>
      <c r="C465" s="35">
        <f>INDEX(monster!$D$2:$D$700,MATCH(progress!A465,monster!$A$2:$A$700,0))</f>
        <v>1</v>
      </c>
      <c r="D465" s="35">
        <f>INDEX(monster!$E$2:$E$700,MATCH(progress!A465,monster!$A$2:$A$700,0))</f>
        <v>1</v>
      </c>
      <c r="E465" s="44">
        <f>INDEX(产销规划表!$G$5:$K$16,progress!D465+2,progress!C465)</f>
        <v>200</v>
      </c>
      <c r="F465" s="70">
        <v>2</v>
      </c>
      <c r="G465" s="70" t="s">
        <v>2585</v>
      </c>
      <c r="H465" s="44">
        <f>INDEX(产销规划表!$B$5:$F$16,progress!D465+2,progress!C465)</f>
        <v>10</v>
      </c>
      <c r="I465" s="70" t="s">
        <v>3068</v>
      </c>
      <c r="J465" s="44">
        <v>250</v>
      </c>
    </row>
    <row r="466" spans="1:10" x14ac:dyDescent="0.15">
      <c r="A466" s="35">
        <v>1497</v>
      </c>
      <c r="B466" s="44" t="s">
        <v>533</v>
      </c>
      <c r="C466" s="35">
        <f>INDEX(monster!$D$2:$D$700,MATCH(progress!A466,monster!$A$2:$A$700,0))</f>
        <v>1</v>
      </c>
      <c r="D466" s="35">
        <f>INDEX(monster!$E$2:$E$700,MATCH(progress!A466,monster!$A$2:$A$700,0))</f>
        <v>2</v>
      </c>
      <c r="E466" s="44">
        <f>INDEX(产销规划表!$G$5:$K$16,progress!D466+2,progress!C466)</f>
        <v>500</v>
      </c>
      <c r="F466" s="70">
        <v>2</v>
      </c>
      <c r="G466" s="70" t="s">
        <v>2585</v>
      </c>
      <c r="H466" s="44">
        <f>INDEX(产销规划表!$B$5:$F$16,progress!D466+2,progress!C466)</f>
        <v>20</v>
      </c>
      <c r="I466" s="70" t="s">
        <v>3068</v>
      </c>
      <c r="J466" s="44">
        <v>375</v>
      </c>
    </row>
    <row r="467" spans="1:10" x14ac:dyDescent="0.15">
      <c r="A467" s="35">
        <v>1498</v>
      </c>
      <c r="B467" s="44" t="s">
        <v>534</v>
      </c>
      <c r="C467" s="35">
        <f>INDEX(monster!$D$2:$D$700,MATCH(progress!A467,monster!$A$2:$A$700,0))</f>
        <v>1</v>
      </c>
      <c r="D467" s="35">
        <f>INDEX(monster!$E$2:$E$700,MATCH(progress!A467,monster!$A$2:$A$700,0))</f>
        <v>3</v>
      </c>
      <c r="E467" s="44">
        <f>INDEX(产销规划表!$G$5:$K$16,progress!D467+2,progress!C467)</f>
        <v>1500</v>
      </c>
      <c r="F467" s="70">
        <v>2</v>
      </c>
      <c r="G467" s="70" t="s">
        <v>2585</v>
      </c>
      <c r="H467" s="44">
        <f>INDEX(产销规划表!$B$5:$F$16,progress!D467+2,progress!C467)</f>
        <v>50</v>
      </c>
      <c r="I467" s="70" t="s">
        <v>3068</v>
      </c>
      <c r="J467" s="44">
        <v>625</v>
      </c>
    </row>
    <row r="468" spans="1:10" x14ac:dyDescent="0.15">
      <c r="A468" s="35">
        <v>1499</v>
      </c>
      <c r="B468" s="44" t="s">
        <v>535</v>
      </c>
      <c r="C468" s="35">
        <f>INDEX(monster!$D$2:$D$700,MATCH(progress!A468,monster!$A$2:$A$700,0))</f>
        <v>1</v>
      </c>
      <c r="D468" s="35">
        <f>INDEX(monster!$E$2:$E$700,MATCH(progress!A468,monster!$A$2:$A$700,0))</f>
        <v>4</v>
      </c>
      <c r="E468" s="44">
        <f>INDEX(产销规划表!$G$5:$K$16,progress!D468+2,progress!C468)</f>
        <v>4000</v>
      </c>
      <c r="F468" s="70">
        <v>2</v>
      </c>
      <c r="G468" s="70" t="s">
        <v>2585</v>
      </c>
      <c r="H468" s="44">
        <f>INDEX(产销规划表!$B$5:$F$16,progress!D468+2,progress!C468)</f>
        <v>80</v>
      </c>
      <c r="I468" s="70" t="s">
        <v>3068</v>
      </c>
      <c r="J468" s="44">
        <v>1000</v>
      </c>
    </row>
    <row r="469" spans="1:10" x14ac:dyDescent="0.15">
      <c r="A469" s="35">
        <v>1500</v>
      </c>
      <c r="B469" s="44" t="s">
        <v>536</v>
      </c>
      <c r="C469" s="35">
        <f>INDEX(monster!$D$2:$D$700,MATCH(progress!A469,monster!$A$2:$A$700,0))</f>
        <v>1</v>
      </c>
      <c r="D469" s="35">
        <f>INDEX(monster!$E$2:$E$700,MATCH(progress!A469,monster!$A$2:$A$700,0))</f>
        <v>5</v>
      </c>
      <c r="E469" s="44">
        <f>INDEX(产销规划表!$G$5:$K$16,progress!D469+2,progress!C469)</f>
        <v>10000</v>
      </c>
      <c r="F469" s="70">
        <v>2</v>
      </c>
      <c r="G469" s="70" t="s">
        <v>2585</v>
      </c>
      <c r="H469" s="44">
        <f>INDEX(产销规划表!$B$5:$F$16,progress!D469+2,progress!C469)</f>
        <v>120</v>
      </c>
      <c r="I469" s="70" t="s">
        <v>3068</v>
      </c>
      <c r="J469" s="44">
        <v>1625</v>
      </c>
    </row>
    <row r="470" spans="1:10" x14ac:dyDescent="0.15">
      <c r="A470" s="35">
        <v>1501</v>
      </c>
      <c r="B470" s="44" t="s">
        <v>537</v>
      </c>
      <c r="C470" s="35">
        <f>INDEX(monster!$D$2:$D$700,MATCH(progress!A470,monster!$A$2:$A$700,0))</f>
        <v>1</v>
      </c>
      <c r="D470" s="35">
        <f>INDEX(monster!$E$2:$E$700,MATCH(progress!A470,monster!$A$2:$A$700,0))</f>
        <v>6</v>
      </c>
      <c r="E470" s="44">
        <f>INDEX(产销规划表!$G$5:$K$16,progress!D470+2,progress!C470)</f>
        <v>20000</v>
      </c>
      <c r="F470" s="70">
        <v>2</v>
      </c>
      <c r="G470" s="70" t="s">
        <v>2585</v>
      </c>
      <c r="H470" s="44">
        <f>INDEX(产销规划表!$B$5:$F$16,progress!D470+2,progress!C470)</f>
        <v>200</v>
      </c>
      <c r="I470" s="70" t="s">
        <v>3068</v>
      </c>
      <c r="J470" s="44">
        <v>2500</v>
      </c>
    </row>
    <row r="471" spans="1:10" x14ac:dyDescent="0.15">
      <c r="A471" s="35">
        <v>1502</v>
      </c>
      <c r="B471" s="44" t="s">
        <v>538</v>
      </c>
      <c r="C471" s="35">
        <f>INDEX(monster!$D$2:$D$700,MATCH(progress!A471,monster!$A$2:$A$700,0))</f>
        <v>1</v>
      </c>
      <c r="D471" s="35">
        <f>INDEX(monster!$E$2:$E$700,MATCH(progress!A471,monster!$A$2:$A$700,0))</f>
        <v>7</v>
      </c>
      <c r="E471" s="44">
        <f>INDEX(产销规划表!$G$5:$K$16,progress!D471+2,progress!C471)</f>
        <v>40000</v>
      </c>
      <c r="F471" s="70">
        <v>2</v>
      </c>
      <c r="G471" s="70" t="s">
        <v>2585</v>
      </c>
      <c r="H471" s="44">
        <f>INDEX(产销规划表!$B$5:$F$16,progress!D471+2,progress!C471)</f>
        <v>350</v>
      </c>
      <c r="I471" s="70" t="s">
        <v>3068</v>
      </c>
      <c r="J471" s="44">
        <v>3750</v>
      </c>
    </row>
    <row r="472" spans="1:10" x14ac:dyDescent="0.15">
      <c r="A472" s="35">
        <v>1503</v>
      </c>
      <c r="B472" s="44" t="s">
        <v>539</v>
      </c>
      <c r="C472" s="35">
        <f>INDEX(monster!$D$2:$D$700,MATCH(progress!A472,monster!$A$2:$A$700,0))</f>
        <v>1</v>
      </c>
      <c r="D472" s="35">
        <f>INDEX(monster!$E$2:$E$700,MATCH(progress!A472,monster!$A$2:$A$700,0))</f>
        <v>8</v>
      </c>
      <c r="E472" s="44">
        <f>INDEX(产销规划表!$G$5:$K$16,progress!D472+2,progress!C472)</f>
        <v>100000</v>
      </c>
      <c r="F472" s="70">
        <v>2</v>
      </c>
      <c r="G472" s="70" t="s">
        <v>2585</v>
      </c>
      <c r="H472" s="44">
        <f>INDEX(产销规划表!$B$5:$F$16,progress!D472+2,progress!C472)</f>
        <v>600</v>
      </c>
      <c r="I472" s="70" t="s">
        <v>3068</v>
      </c>
      <c r="J472" s="44">
        <v>5750</v>
      </c>
    </row>
    <row r="473" spans="1:10" x14ac:dyDescent="0.15">
      <c r="A473" s="35">
        <v>1504</v>
      </c>
      <c r="B473" s="44" t="s">
        <v>540</v>
      </c>
      <c r="C473" s="35">
        <f>INDEX(monster!$D$2:$D$700,MATCH(progress!A473,monster!$A$2:$A$700,0))</f>
        <v>1</v>
      </c>
      <c r="D473" s="35">
        <f>INDEX(monster!$E$2:$E$700,MATCH(progress!A473,monster!$A$2:$A$700,0))</f>
        <v>9</v>
      </c>
      <c r="E473" s="44">
        <f>INDEX(产销规划表!$G$5:$K$16,progress!D473+2,progress!C473)</f>
        <v>200000</v>
      </c>
      <c r="F473" s="70">
        <v>2</v>
      </c>
      <c r="G473" s="70" t="s">
        <v>2585</v>
      </c>
      <c r="H473" s="44">
        <f>INDEX(产销规划表!$B$5:$F$16,progress!D473+2,progress!C473)</f>
        <v>1000</v>
      </c>
      <c r="I473" s="70" t="s">
        <v>3068</v>
      </c>
      <c r="J473" s="44">
        <v>9000</v>
      </c>
    </row>
    <row r="474" spans="1:10" x14ac:dyDescent="0.15">
      <c r="A474" s="35">
        <v>1505</v>
      </c>
      <c r="B474" s="44" t="s">
        <v>541</v>
      </c>
      <c r="C474" s="35">
        <f>INDEX(monster!$D$2:$D$700,MATCH(progress!A474,monster!$A$2:$A$700,0))</f>
        <v>1</v>
      </c>
      <c r="D474" s="35">
        <f>INDEX(monster!$E$2:$E$700,MATCH(progress!A474,monster!$A$2:$A$700,0))</f>
        <v>10</v>
      </c>
      <c r="E474" s="44">
        <f>INDEX(产销规划表!$G$5:$K$16,progress!D474+2,progress!C474)</f>
        <v>-1</v>
      </c>
      <c r="F474" s="70">
        <v>2</v>
      </c>
      <c r="G474" s="70" t="s">
        <v>2585</v>
      </c>
      <c r="H474" s="44">
        <f>INDEX(产销规划表!$B$5:$F$16,progress!D474+2,progress!C474)</f>
        <v>-1</v>
      </c>
      <c r="I474" s="70" t="s">
        <v>3068</v>
      </c>
      <c r="J474" s="44">
        <v>-1</v>
      </c>
    </row>
    <row r="475" spans="1:10" x14ac:dyDescent="0.15">
      <c r="A475" s="35">
        <v>1539</v>
      </c>
      <c r="B475" s="44" t="s">
        <v>1895</v>
      </c>
      <c r="C475" s="35">
        <f>INDEX(monster!$D$2:$D$700,MATCH(progress!A475,monster!$A$2:$A$700,0))</f>
        <v>3</v>
      </c>
      <c r="D475" s="35">
        <f>INDEX(monster!$E$2:$E$700,MATCH(progress!A475,monster!$A$2:$A$700,0))</f>
        <v>0</v>
      </c>
      <c r="E475" s="44">
        <f>INDEX(产销规划表!$G$5:$K$16,progress!D475+2,progress!C475)</f>
        <v>500</v>
      </c>
      <c r="F475" s="70">
        <v>2</v>
      </c>
      <c r="G475" s="70" t="s">
        <v>2586</v>
      </c>
      <c r="H475" s="44">
        <f>INDEX(产销规划表!$B$5:$F$16,progress!D475+2,progress!C475)</f>
        <v>5</v>
      </c>
      <c r="I475" s="70" t="s">
        <v>3068</v>
      </c>
      <c r="J475" s="44">
        <v>250</v>
      </c>
    </row>
    <row r="476" spans="1:10" x14ac:dyDescent="0.15">
      <c r="A476" s="35">
        <v>1540</v>
      </c>
      <c r="B476" s="44" t="s">
        <v>1896</v>
      </c>
      <c r="C476" s="35">
        <f>INDEX(monster!$D$2:$D$700,MATCH(progress!A476,monster!$A$2:$A$700,0))</f>
        <v>3</v>
      </c>
      <c r="D476" s="35">
        <f>INDEX(monster!$E$2:$E$700,MATCH(progress!A476,monster!$A$2:$A$700,0))</f>
        <v>1</v>
      </c>
      <c r="E476" s="44">
        <f>INDEX(产销规划表!$G$5:$K$16,progress!D476+2,progress!C476)</f>
        <v>1500</v>
      </c>
      <c r="F476" s="70">
        <v>2</v>
      </c>
      <c r="G476" s="70" t="s">
        <v>2586</v>
      </c>
      <c r="H476" s="44">
        <f>INDEX(产销规划表!$B$5:$F$16,progress!D476+2,progress!C476)</f>
        <v>10</v>
      </c>
      <c r="I476" s="70" t="s">
        <v>3068</v>
      </c>
      <c r="J476" s="44">
        <v>500</v>
      </c>
    </row>
    <row r="477" spans="1:10" x14ac:dyDescent="0.15">
      <c r="A477" s="35">
        <v>1541</v>
      </c>
      <c r="B477" s="44" t="s">
        <v>569</v>
      </c>
      <c r="C477" s="35">
        <f>INDEX(monster!$D$2:$D$700,MATCH(progress!A477,monster!$A$2:$A$700,0))</f>
        <v>3</v>
      </c>
      <c r="D477" s="35">
        <f>INDEX(monster!$E$2:$E$700,MATCH(progress!A477,monster!$A$2:$A$700,0))</f>
        <v>2</v>
      </c>
      <c r="E477" s="44">
        <f>INDEX(产销规划表!$G$5:$K$16,progress!D477+2,progress!C477)</f>
        <v>4000</v>
      </c>
      <c r="F477" s="70">
        <v>2</v>
      </c>
      <c r="G477" s="70" t="s">
        <v>2586</v>
      </c>
      <c r="H477" s="44">
        <f>INDEX(产销规划表!$B$5:$F$16,progress!D477+2,progress!C477)</f>
        <v>20</v>
      </c>
      <c r="I477" s="70" t="s">
        <v>3068</v>
      </c>
      <c r="J477" s="44">
        <v>750</v>
      </c>
    </row>
    <row r="478" spans="1:10" x14ac:dyDescent="0.15">
      <c r="A478" s="35">
        <v>1542</v>
      </c>
      <c r="B478" s="44" t="s">
        <v>570</v>
      </c>
      <c r="C478" s="35">
        <f>INDEX(monster!$D$2:$D$700,MATCH(progress!A478,monster!$A$2:$A$700,0))</f>
        <v>3</v>
      </c>
      <c r="D478" s="35">
        <f>INDEX(monster!$E$2:$E$700,MATCH(progress!A478,monster!$A$2:$A$700,0))</f>
        <v>3</v>
      </c>
      <c r="E478" s="44">
        <f>INDEX(产销规划表!$G$5:$K$16,progress!D478+2,progress!C478)</f>
        <v>10000</v>
      </c>
      <c r="F478" s="70">
        <v>2</v>
      </c>
      <c r="G478" s="70" t="s">
        <v>2586</v>
      </c>
      <c r="H478" s="44">
        <f>INDEX(产销规划表!$B$5:$F$16,progress!D478+2,progress!C478)</f>
        <v>50</v>
      </c>
      <c r="I478" s="70" t="s">
        <v>3068</v>
      </c>
      <c r="J478" s="44">
        <v>1250</v>
      </c>
    </row>
    <row r="479" spans="1:10" x14ac:dyDescent="0.15">
      <c r="A479" s="35">
        <v>1543</v>
      </c>
      <c r="B479" s="44" t="s">
        <v>571</v>
      </c>
      <c r="C479" s="35">
        <f>INDEX(monster!$D$2:$D$700,MATCH(progress!A479,monster!$A$2:$A$700,0))</f>
        <v>3</v>
      </c>
      <c r="D479" s="35">
        <f>INDEX(monster!$E$2:$E$700,MATCH(progress!A479,monster!$A$2:$A$700,0))</f>
        <v>4</v>
      </c>
      <c r="E479" s="44">
        <f>INDEX(产销规划表!$G$5:$K$16,progress!D479+2,progress!C479)</f>
        <v>20000</v>
      </c>
      <c r="F479" s="70">
        <v>2</v>
      </c>
      <c r="G479" s="70" t="s">
        <v>2586</v>
      </c>
      <c r="H479" s="44">
        <f>INDEX(产销规划表!$B$5:$F$16,progress!D479+2,progress!C479)</f>
        <v>80</v>
      </c>
      <c r="I479" s="70" t="s">
        <v>3068</v>
      </c>
      <c r="J479" s="44">
        <v>2000</v>
      </c>
    </row>
    <row r="480" spans="1:10" x14ac:dyDescent="0.15">
      <c r="A480" s="35">
        <v>1544</v>
      </c>
      <c r="B480" s="44" t="s">
        <v>572</v>
      </c>
      <c r="C480" s="35">
        <f>INDEX(monster!$D$2:$D$700,MATCH(progress!A480,monster!$A$2:$A$700,0))</f>
        <v>3</v>
      </c>
      <c r="D480" s="35">
        <f>INDEX(monster!$E$2:$E$700,MATCH(progress!A480,monster!$A$2:$A$700,0))</f>
        <v>5</v>
      </c>
      <c r="E480" s="44">
        <f>INDEX(产销规划表!$G$5:$K$16,progress!D480+2,progress!C480)</f>
        <v>40000</v>
      </c>
      <c r="F480" s="70">
        <v>2</v>
      </c>
      <c r="G480" s="70" t="s">
        <v>2586</v>
      </c>
      <c r="H480" s="44">
        <f>INDEX(产销规划表!$B$5:$F$16,progress!D480+2,progress!C480)</f>
        <v>120</v>
      </c>
      <c r="I480" s="70" t="s">
        <v>3068</v>
      </c>
      <c r="J480" s="44">
        <v>3250</v>
      </c>
    </row>
    <row r="481" spans="1:10" x14ac:dyDescent="0.15">
      <c r="A481" s="35">
        <v>1545</v>
      </c>
      <c r="B481" s="44" t="s">
        <v>573</v>
      </c>
      <c r="C481" s="35">
        <f>INDEX(monster!$D$2:$D$700,MATCH(progress!A481,monster!$A$2:$A$700,0))</f>
        <v>3</v>
      </c>
      <c r="D481" s="35">
        <f>INDEX(monster!$E$2:$E$700,MATCH(progress!A481,monster!$A$2:$A$700,0))</f>
        <v>6</v>
      </c>
      <c r="E481" s="44">
        <f>INDEX(产销规划表!$G$5:$K$16,progress!D481+2,progress!C481)</f>
        <v>100000</v>
      </c>
      <c r="F481" s="70">
        <v>2</v>
      </c>
      <c r="G481" s="70" t="s">
        <v>2586</v>
      </c>
      <c r="H481" s="44">
        <f>INDEX(产销规划表!$B$5:$F$16,progress!D481+2,progress!C481)</f>
        <v>200</v>
      </c>
      <c r="I481" s="70" t="s">
        <v>3068</v>
      </c>
      <c r="J481" s="44">
        <v>5000</v>
      </c>
    </row>
    <row r="482" spans="1:10" x14ac:dyDescent="0.15">
      <c r="A482" s="35">
        <v>1546</v>
      </c>
      <c r="B482" s="44" t="s">
        <v>574</v>
      </c>
      <c r="C482" s="35">
        <f>INDEX(monster!$D$2:$D$700,MATCH(progress!A482,monster!$A$2:$A$700,0))</f>
        <v>3</v>
      </c>
      <c r="D482" s="35">
        <f>INDEX(monster!$E$2:$E$700,MATCH(progress!A482,monster!$A$2:$A$700,0))</f>
        <v>7</v>
      </c>
      <c r="E482" s="44">
        <f>INDEX(产销规划表!$G$5:$K$16,progress!D482+2,progress!C482)</f>
        <v>200000</v>
      </c>
      <c r="F482" s="70">
        <v>2</v>
      </c>
      <c r="G482" s="70" t="s">
        <v>2586</v>
      </c>
      <c r="H482" s="44">
        <f>INDEX(产销规划表!$B$5:$F$16,progress!D482+2,progress!C482)</f>
        <v>350</v>
      </c>
      <c r="I482" s="70" t="s">
        <v>3068</v>
      </c>
      <c r="J482" s="44">
        <v>7500</v>
      </c>
    </row>
    <row r="483" spans="1:10" x14ac:dyDescent="0.15">
      <c r="A483" s="35">
        <v>1547</v>
      </c>
      <c r="B483" s="44" t="s">
        <v>575</v>
      </c>
      <c r="C483" s="35">
        <f>INDEX(monster!$D$2:$D$700,MATCH(progress!A483,monster!$A$2:$A$700,0))</f>
        <v>3</v>
      </c>
      <c r="D483" s="35">
        <f>INDEX(monster!$E$2:$E$700,MATCH(progress!A483,monster!$A$2:$A$700,0))</f>
        <v>8</v>
      </c>
      <c r="E483" s="44">
        <f>INDEX(产销规划表!$G$5:$K$16,progress!D483+2,progress!C483)</f>
        <v>500000</v>
      </c>
      <c r="F483" s="70">
        <v>2</v>
      </c>
      <c r="G483" s="70" t="s">
        <v>2586</v>
      </c>
      <c r="H483" s="44">
        <f>INDEX(产销规划表!$B$5:$F$16,progress!D483+2,progress!C483)</f>
        <v>600</v>
      </c>
      <c r="I483" s="70" t="s">
        <v>3068</v>
      </c>
      <c r="J483" s="44">
        <v>11250</v>
      </c>
    </row>
    <row r="484" spans="1:10" x14ac:dyDescent="0.15">
      <c r="A484" s="35">
        <v>1548</v>
      </c>
      <c r="B484" s="44" t="s">
        <v>576</v>
      </c>
      <c r="C484" s="35">
        <f>INDEX(monster!$D$2:$D$700,MATCH(progress!A484,monster!$A$2:$A$700,0))</f>
        <v>3</v>
      </c>
      <c r="D484" s="35">
        <f>INDEX(monster!$E$2:$E$700,MATCH(progress!A484,monster!$A$2:$A$700,0))</f>
        <v>9</v>
      </c>
      <c r="E484" s="44">
        <f>INDEX(产销规划表!$G$5:$K$16,progress!D484+2,progress!C484)</f>
        <v>1000000</v>
      </c>
      <c r="F484" s="70">
        <v>2</v>
      </c>
      <c r="G484" s="70" t="s">
        <v>2586</v>
      </c>
      <c r="H484" s="44">
        <f>INDEX(产销规划表!$B$5:$F$16,progress!D484+2,progress!C484)</f>
        <v>1000</v>
      </c>
      <c r="I484" s="70" t="s">
        <v>3068</v>
      </c>
      <c r="J484" s="44">
        <v>18000</v>
      </c>
    </row>
    <row r="485" spans="1:10" x14ac:dyDescent="0.15">
      <c r="A485" s="35">
        <v>1549</v>
      </c>
      <c r="B485" s="44" t="s">
        <v>577</v>
      </c>
      <c r="C485" s="35">
        <f>INDEX(monster!$D$2:$D$700,MATCH(progress!A485,monster!$A$2:$A$700,0))</f>
        <v>3</v>
      </c>
      <c r="D485" s="35">
        <f>INDEX(monster!$E$2:$E$700,MATCH(progress!A485,monster!$A$2:$A$700,0))</f>
        <v>10</v>
      </c>
      <c r="E485" s="44">
        <f>INDEX(产销规划表!$G$5:$K$16,progress!D485+2,progress!C485)</f>
        <v>-1</v>
      </c>
      <c r="F485" s="70">
        <v>2</v>
      </c>
      <c r="G485" s="70" t="s">
        <v>2586</v>
      </c>
      <c r="H485" s="44">
        <f>INDEX(产销规划表!$B$5:$F$16,progress!D485+2,progress!C485)</f>
        <v>-1</v>
      </c>
      <c r="I485" s="70" t="s">
        <v>3068</v>
      </c>
      <c r="J485" s="44">
        <v>-1</v>
      </c>
    </row>
    <row r="486" spans="1:10" x14ac:dyDescent="0.15">
      <c r="A486" s="35">
        <v>1550</v>
      </c>
      <c r="B486" s="44" t="s">
        <v>2590</v>
      </c>
      <c r="C486" s="35">
        <f>INDEX(monster!$D$2:$D$700,MATCH(progress!A486,monster!$A$2:$A$700,0))</f>
        <v>3</v>
      </c>
      <c r="D486" s="35">
        <f>INDEX(monster!$E$2:$E$700,MATCH(progress!A486,monster!$A$2:$A$700,0))</f>
        <v>0</v>
      </c>
      <c r="E486" s="44">
        <f>INDEX(产销规划表!$G$5:$K$16,progress!D486+2,progress!C486)</f>
        <v>500</v>
      </c>
      <c r="F486" s="70">
        <v>2</v>
      </c>
      <c r="G486" s="70" t="s">
        <v>2587</v>
      </c>
      <c r="H486" s="44">
        <f>INDEX(产销规划表!$B$5:$F$16,progress!D486+2,progress!C486)</f>
        <v>5</v>
      </c>
      <c r="I486" s="70" t="s">
        <v>3068</v>
      </c>
      <c r="J486" s="44">
        <v>250</v>
      </c>
    </row>
    <row r="487" spans="1:10" x14ac:dyDescent="0.15">
      <c r="A487" s="35">
        <v>1551</v>
      </c>
      <c r="B487" s="44" t="s">
        <v>2602</v>
      </c>
      <c r="C487" s="35">
        <f>INDEX(monster!$D$2:$D$700,MATCH(progress!A487,monster!$A$2:$A$700,0))</f>
        <v>3</v>
      </c>
      <c r="D487" s="35">
        <f>INDEX(monster!$E$2:$E$700,MATCH(progress!A487,monster!$A$2:$A$700,0))</f>
        <v>1</v>
      </c>
      <c r="E487" s="44">
        <f>INDEX(产销规划表!$G$5:$K$16,progress!D487+2,progress!C487)</f>
        <v>1500</v>
      </c>
      <c r="F487" s="70">
        <v>2</v>
      </c>
      <c r="G487" s="70" t="s">
        <v>2587</v>
      </c>
      <c r="H487" s="44">
        <f>INDEX(产销规划表!$B$5:$F$16,progress!D487+2,progress!C487)</f>
        <v>10</v>
      </c>
      <c r="I487" s="70" t="s">
        <v>3068</v>
      </c>
      <c r="J487" s="44">
        <v>500</v>
      </c>
    </row>
    <row r="488" spans="1:10" x14ac:dyDescent="0.15">
      <c r="A488" s="35">
        <v>1552</v>
      </c>
      <c r="B488" s="44" t="s">
        <v>2603</v>
      </c>
      <c r="C488" s="35">
        <f>INDEX(monster!$D$2:$D$700,MATCH(progress!A488,monster!$A$2:$A$700,0))</f>
        <v>3</v>
      </c>
      <c r="D488" s="35">
        <f>INDEX(monster!$E$2:$E$700,MATCH(progress!A488,monster!$A$2:$A$700,0))</f>
        <v>2</v>
      </c>
      <c r="E488" s="44">
        <f>INDEX(产销规划表!$G$5:$K$16,progress!D488+2,progress!C488)</f>
        <v>4000</v>
      </c>
      <c r="F488" s="70">
        <v>2</v>
      </c>
      <c r="G488" s="70" t="s">
        <v>2587</v>
      </c>
      <c r="H488" s="44">
        <f>INDEX(产销规划表!$B$5:$F$16,progress!D488+2,progress!C488)</f>
        <v>20</v>
      </c>
      <c r="I488" s="70" t="s">
        <v>3068</v>
      </c>
      <c r="J488" s="44">
        <v>750</v>
      </c>
    </row>
    <row r="489" spans="1:10" x14ac:dyDescent="0.15">
      <c r="A489" s="35">
        <v>1553</v>
      </c>
      <c r="B489" s="44" t="s">
        <v>2604</v>
      </c>
      <c r="C489" s="35">
        <f>INDEX(monster!$D$2:$D$700,MATCH(progress!A489,monster!$A$2:$A$700,0))</f>
        <v>3</v>
      </c>
      <c r="D489" s="35">
        <f>INDEX(monster!$E$2:$E$700,MATCH(progress!A489,monster!$A$2:$A$700,0))</f>
        <v>3</v>
      </c>
      <c r="E489" s="44">
        <f>INDEX(产销规划表!$G$5:$K$16,progress!D489+2,progress!C489)</f>
        <v>10000</v>
      </c>
      <c r="F489" s="70">
        <v>2</v>
      </c>
      <c r="G489" s="70" t="s">
        <v>2587</v>
      </c>
      <c r="H489" s="44">
        <f>INDEX(产销规划表!$B$5:$F$16,progress!D489+2,progress!C489)</f>
        <v>50</v>
      </c>
      <c r="I489" s="70" t="s">
        <v>3068</v>
      </c>
      <c r="J489" s="44">
        <v>1250</v>
      </c>
    </row>
    <row r="490" spans="1:10" x14ac:dyDescent="0.15">
      <c r="A490" s="35">
        <v>1554</v>
      </c>
      <c r="B490" s="44" t="s">
        <v>2605</v>
      </c>
      <c r="C490" s="35">
        <f>INDEX(monster!$D$2:$D$700,MATCH(progress!A490,monster!$A$2:$A$700,0))</f>
        <v>3</v>
      </c>
      <c r="D490" s="35">
        <f>INDEX(monster!$E$2:$E$700,MATCH(progress!A490,monster!$A$2:$A$700,0))</f>
        <v>4</v>
      </c>
      <c r="E490" s="44">
        <f>INDEX(产销规划表!$G$5:$K$16,progress!D490+2,progress!C490)</f>
        <v>20000</v>
      </c>
      <c r="F490" s="70">
        <v>2</v>
      </c>
      <c r="G490" s="70" t="s">
        <v>2587</v>
      </c>
      <c r="H490" s="44">
        <f>INDEX(产销规划表!$B$5:$F$16,progress!D490+2,progress!C490)</f>
        <v>80</v>
      </c>
      <c r="I490" s="70" t="s">
        <v>3068</v>
      </c>
      <c r="J490" s="44">
        <v>2000</v>
      </c>
    </row>
    <row r="491" spans="1:10" x14ac:dyDescent="0.15">
      <c r="A491" s="35">
        <v>1555</v>
      </c>
      <c r="B491" s="44" t="s">
        <v>2606</v>
      </c>
      <c r="C491" s="35">
        <f>INDEX(monster!$D$2:$D$700,MATCH(progress!A491,monster!$A$2:$A$700,0))</f>
        <v>3</v>
      </c>
      <c r="D491" s="35">
        <f>INDEX(monster!$E$2:$E$700,MATCH(progress!A491,monster!$A$2:$A$700,0))</f>
        <v>5</v>
      </c>
      <c r="E491" s="44">
        <f>INDEX(产销规划表!$G$5:$K$16,progress!D491+2,progress!C491)</f>
        <v>40000</v>
      </c>
      <c r="F491" s="70">
        <v>2</v>
      </c>
      <c r="G491" s="70" t="s">
        <v>2587</v>
      </c>
      <c r="H491" s="44">
        <f>INDEX(产销规划表!$B$5:$F$16,progress!D491+2,progress!C491)</f>
        <v>120</v>
      </c>
      <c r="I491" s="70" t="s">
        <v>3068</v>
      </c>
      <c r="J491" s="44">
        <v>3250</v>
      </c>
    </row>
    <row r="492" spans="1:10" x14ac:dyDescent="0.15">
      <c r="A492" s="35">
        <v>1556</v>
      </c>
      <c r="B492" s="44" t="s">
        <v>2607</v>
      </c>
      <c r="C492" s="35">
        <f>INDEX(monster!$D$2:$D$700,MATCH(progress!A492,monster!$A$2:$A$700,0))</f>
        <v>3</v>
      </c>
      <c r="D492" s="35">
        <f>INDEX(monster!$E$2:$E$700,MATCH(progress!A492,monster!$A$2:$A$700,0))</f>
        <v>6</v>
      </c>
      <c r="E492" s="44">
        <f>INDEX(产销规划表!$G$5:$K$16,progress!D492+2,progress!C492)</f>
        <v>100000</v>
      </c>
      <c r="F492" s="70">
        <v>2</v>
      </c>
      <c r="G492" s="70" t="s">
        <v>2587</v>
      </c>
      <c r="H492" s="44">
        <f>INDEX(产销规划表!$B$5:$F$16,progress!D492+2,progress!C492)</f>
        <v>200</v>
      </c>
      <c r="I492" s="70" t="s">
        <v>3068</v>
      </c>
      <c r="J492" s="44">
        <v>5000</v>
      </c>
    </row>
    <row r="493" spans="1:10" x14ac:dyDescent="0.15">
      <c r="A493" s="35">
        <v>1557</v>
      </c>
      <c r="B493" s="44" t="s">
        <v>2608</v>
      </c>
      <c r="C493" s="35">
        <f>INDEX(monster!$D$2:$D$700,MATCH(progress!A493,monster!$A$2:$A$700,0))</f>
        <v>3</v>
      </c>
      <c r="D493" s="35">
        <f>INDEX(monster!$E$2:$E$700,MATCH(progress!A493,monster!$A$2:$A$700,0))</f>
        <v>7</v>
      </c>
      <c r="E493" s="44">
        <f>INDEX(产销规划表!$G$5:$K$16,progress!D493+2,progress!C493)</f>
        <v>200000</v>
      </c>
      <c r="F493" s="70">
        <v>2</v>
      </c>
      <c r="G493" s="70" t="s">
        <v>2587</v>
      </c>
      <c r="H493" s="44">
        <f>INDEX(产销规划表!$B$5:$F$16,progress!D493+2,progress!C493)</f>
        <v>350</v>
      </c>
      <c r="I493" s="70" t="s">
        <v>3068</v>
      </c>
      <c r="J493" s="44">
        <v>7500</v>
      </c>
    </row>
    <row r="494" spans="1:10" x14ac:dyDescent="0.15">
      <c r="A494" s="35">
        <v>1558</v>
      </c>
      <c r="B494" s="44" t="s">
        <v>2609</v>
      </c>
      <c r="C494" s="35">
        <f>INDEX(monster!$D$2:$D$700,MATCH(progress!A494,monster!$A$2:$A$700,0))</f>
        <v>3</v>
      </c>
      <c r="D494" s="35">
        <f>INDEX(monster!$E$2:$E$700,MATCH(progress!A494,monster!$A$2:$A$700,0))</f>
        <v>8</v>
      </c>
      <c r="E494" s="44">
        <f>INDEX(产销规划表!$G$5:$K$16,progress!D494+2,progress!C494)</f>
        <v>500000</v>
      </c>
      <c r="F494" s="70">
        <v>2</v>
      </c>
      <c r="G494" s="70" t="s">
        <v>2587</v>
      </c>
      <c r="H494" s="44">
        <f>INDEX(产销规划表!$B$5:$F$16,progress!D494+2,progress!C494)</f>
        <v>600</v>
      </c>
      <c r="I494" s="70" t="s">
        <v>3068</v>
      </c>
      <c r="J494" s="44">
        <v>11250</v>
      </c>
    </row>
    <row r="495" spans="1:10" x14ac:dyDescent="0.15">
      <c r="A495" s="35">
        <v>1559</v>
      </c>
      <c r="B495" s="44" t="s">
        <v>2610</v>
      </c>
      <c r="C495" s="35">
        <f>INDEX(monster!$D$2:$D$700,MATCH(progress!A495,monster!$A$2:$A$700,0))</f>
        <v>3</v>
      </c>
      <c r="D495" s="35">
        <f>INDEX(monster!$E$2:$E$700,MATCH(progress!A495,monster!$A$2:$A$700,0))</f>
        <v>9</v>
      </c>
      <c r="E495" s="44">
        <f>INDEX(产销规划表!$G$5:$K$16,progress!D495+2,progress!C495)</f>
        <v>1000000</v>
      </c>
      <c r="F495" s="70">
        <v>2</v>
      </c>
      <c r="G495" s="70" t="s">
        <v>2587</v>
      </c>
      <c r="H495" s="44">
        <f>INDEX(产销规划表!$B$5:$F$16,progress!D495+2,progress!C495)</f>
        <v>1000</v>
      </c>
      <c r="I495" s="70" t="s">
        <v>3068</v>
      </c>
      <c r="J495" s="44">
        <v>18000</v>
      </c>
    </row>
    <row r="496" spans="1:10" x14ac:dyDescent="0.15">
      <c r="A496" s="35">
        <v>1560</v>
      </c>
      <c r="B496" s="44" t="s">
        <v>2611</v>
      </c>
      <c r="C496" s="35">
        <f>INDEX(monster!$D$2:$D$700,MATCH(progress!A496,monster!$A$2:$A$700,0))</f>
        <v>3</v>
      </c>
      <c r="D496" s="35">
        <f>INDEX(monster!$E$2:$E$700,MATCH(progress!A496,monster!$A$2:$A$700,0))</f>
        <v>10</v>
      </c>
      <c r="E496" s="44">
        <f>INDEX(产销规划表!$G$5:$K$16,progress!D496+2,progress!C496)</f>
        <v>-1</v>
      </c>
      <c r="F496" s="70">
        <v>2</v>
      </c>
      <c r="G496" s="70" t="s">
        <v>2587</v>
      </c>
      <c r="H496" s="44">
        <f>INDEX(产销规划表!$B$5:$F$16,progress!D496+2,progress!C496)</f>
        <v>-1</v>
      </c>
      <c r="I496" s="70" t="s">
        <v>3068</v>
      </c>
      <c r="J496" s="44">
        <v>-1</v>
      </c>
    </row>
    <row r="497" spans="1:10" x14ac:dyDescent="0.15">
      <c r="A497" s="35">
        <v>1561</v>
      </c>
      <c r="B497" s="44" t="s">
        <v>2591</v>
      </c>
      <c r="C497" s="35">
        <f>INDEX(monster!$D$2:$D$700,MATCH(progress!A497,monster!$A$2:$A$700,0))</f>
        <v>5</v>
      </c>
      <c r="D497" s="35">
        <f>INDEX(monster!$E$2:$E$700,MATCH(progress!A497,monster!$A$2:$A$700,0))</f>
        <v>0</v>
      </c>
      <c r="E497" s="44">
        <f>INDEX(产销规划表!$G$5:$K$16,progress!D497+2,progress!C497-1)</f>
        <v>4000</v>
      </c>
      <c r="F497" s="70">
        <v>2</v>
      </c>
      <c r="G497" s="70" t="s">
        <v>2588</v>
      </c>
      <c r="H497" s="44">
        <f>INDEX(产销规划表!$B$5:$F$16,progress!D497+2,progress!C497)</f>
        <v>5</v>
      </c>
      <c r="I497" s="70" t="s">
        <v>3068</v>
      </c>
      <c r="J497" s="44">
        <v>2500</v>
      </c>
    </row>
    <row r="498" spans="1:10" x14ac:dyDescent="0.15">
      <c r="A498" s="35">
        <v>1562</v>
      </c>
      <c r="B498" s="44" t="s">
        <v>2592</v>
      </c>
      <c r="C498" s="35">
        <f>INDEX(monster!$D$2:$D$700,MATCH(progress!A498,monster!$A$2:$A$700,0))</f>
        <v>5</v>
      </c>
      <c r="D498" s="35">
        <f>INDEX(monster!$E$2:$E$700,MATCH(progress!A498,monster!$A$2:$A$700,0))</f>
        <v>1</v>
      </c>
      <c r="E498" s="70">
        <f>INDEX(产销规划表!$G$5:$K$16,progress!D498+2,progress!C498-1)</f>
        <v>10000</v>
      </c>
      <c r="F498" s="70">
        <v>2</v>
      </c>
      <c r="G498" s="70" t="s">
        <v>2588</v>
      </c>
      <c r="H498" s="44">
        <f>INDEX(产销规划表!$B$5:$F$16,progress!D498+2,progress!C498)</f>
        <v>10</v>
      </c>
      <c r="I498" s="70" t="s">
        <v>3068</v>
      </c>
      <c r="J498" s="70">
        <v>4500</v>
      </c>
    </row>
    <row r="499" spans="1:10" x14ac:dyDescent="0.15">
      <c r="A499" s="35">
        <v>1563</v>
      </c>
      <c r="B499" s="44" t="s">
        <v>2593</v>
      </c>
      <c r="C499" s="35">
        <f>INDEX(monster!$D$2:$D$700,MATCH(progress!A499,monster!$A$2:$A$700,0))</f>
        <v>5</v>
      </c>
      <c r="D499" s="35">
        <f>INDEX(monster!$E$2:$E$700,MATCH(progress!A499,monster!$A$2:$A$700,0))</f>
        <v>2</v>
      </c>
      <c r="E499" s="70">
        <f>INDEX(产销规划表!$G$5:$K$16,progress!D499+2,progress!C499-1)</f>
        <v>20000</v>
      </c>
      <c r="F499" s="70">
        <v>2</v>
      </c>
      <c r="G499" s="70" t="s">
        <v>2588</v>
      </c>
      <c r="H499" s="44">
        <f>INDEX(产销规划表!$B$5:$F$16,progress!D499+2,progress!C499)</f>
        <v>20</v>
      </c>
      <c r="I499" s="70" t="s">
        <v>3068</v>
      </c>
      <c r="J499" s="70">
        <v>6750</v>
      </c>
    </row>
    <row r="500" spans="1:10" x14ac:dyDescent="0.15">
      <c r="A500" s="35">
        <v>1564</v>
      </c>
      <c r="B500" s="44" t="s">
        <v>2594</v>
      </c>
      <c r="C500" s="35">
        <f>INDEX(monster!$D$2:$D$700,MATCH(progress!A500,monster!$A$2:$A$700,0))</f>
        <v>5</v>
      </c>
      <c r="D500" s="35">
        <f>INDEX(monster!$E$2:$E$700,MATCH(progress!A500,monster!$A$2:$A$700,0))</f>
        <v>3</v>
      </c>
      <c r="E500" s="70">
        <f>INDEX(产销规划表!$G$5:$K$16,progress!D500+2,progress!C500-1)</f>
        <v>40000</v>
      </c>
      <c r="F500" s="70">
        <v>2</v>
      </c>
      <c r="G500" s="70" t="s">
        <v>2588</v>
      </c>
      <c r="H500" s="44">
        <f>INDEX(产销规划表!$B$5:$F$16,progress!D500+2,progress!C500)</f>
        <v>50</v>
      </c>
      <c r="I500" s="70" t="s">
        <v>3068</v>
      </c>
      <c r="J500" s="70">
        <v>11250</v>
      </c>
    </row>
    <row r="501" spans="1:10" x14ac:dyDescent="0.15">
      <c r="A501" s="35">
        <v>1565</v>
      </c>
      <c r="B501" s="44" t="s">
        <v>2595</v>
      </c>
      <c r="C501" s="35">
        <f>INDEX(monster!$D$2:$D$700,MATCH(progress!A501,monster!$A$2:$A$700,0))</f>
        <v>5</v>
      </c>
      <c r="D501" s="35">
        <f>INDEX(monster!$E$2:$E$700,MATCH(progress!A501,monster!$A$2:$A$700,0))</f>
        <v>4</v>
      </c>
      <c r="E501" s="70">
        <f>INDEX(产销规划表!$G$5:$K$16,progress!D501+2,progress!C501-1)</f>
        <v>100000</v>
      </c>
      <c r="F501" s="70">
        <v>2</v>
      </c>
      <c r="G501" s="70" t="s">
        <v>2588</v>
      </c>
      <c r="H501" s="44">
        <f>INDEX(产销规划表!$B$5:$F$16,progress!D501+2,progress!C501)</f>
        <v>80</v>
      </c>
      <c r="I501" s="70" t="s">
        <v>3068</v>
      </c>
      <c r="J501" s="70">
        <v>16250</v>
      </c>
    </row>
    <row r="502" spans="1:10" x14ac:dyDescent="0.15">
      <c r="A502" s="35">
        <v>1566</v>
      </c>
      <c r="B502" s="44" t="s">
        <v>2596</v>
      </c>
      <c r="C502" s="35">
        <f>INDEX(monster!$D$2:$D$700,MATCH(progress!A502,monster!$A$2:$A$700,0))</f>
        <v>5</v>
      </c>
      <c r="D502" s="35">
        <f>INDEX(monster!$E$2:$E$700,MATCH(progress!A502,monster!$A$2:$A$700,0))</f>
        <v>5</v>
      </c>
      <c r="E502" s="70">
        <f>INDEX(产销规划表!$G$5:$K$16,progress!D502+2,progress!C502-1)</f>
        <v>200000</v>
      </c>
      <c r="F502" s="70">
        <v>2</v>
      </c>
      <c r="G502" s="70" t="s">
        <v>2588</v>
      </c>
      <c r="H502" s="44">
        <f>INDEX(产销规划表!$B$5:$F$16,progress!D502+2,progress!C502)</f>
        <v>120</v>
      </c>
      <c r="I502" s="70" t="s">
        <v>3068</v>
      </c>
      <c r="J502" s="70">
        <v>30000</v>
      </c>
    </row>
    <row r="503" spans="1:10" x14ac:dyDescent="0.15">
      <c r="A503" s="35">
        <v>1567</v>
      </c>
      <c r="B503" s="44" t="s">
        <v>2597</v>
      </c>
      <c r="C503" s="35">
        <f>INDEX(monster!$D$2:$D$700,MATCH(progress!A503,monster!$A$2:$A$700,0))</f>
        <v>5</v>
      </c>
      <c r="D503" s="35">
        <f>INDEX(monster!$E$2:$E$700,MATCH(progress!A503,monster!$A$2:$A$700,0))</f>
        <v>6</v>
      </c>
      <c r="E503" s="70">
        <f>INDEX(产销规划表!$G$5:$K$16,progress!D503+2,progress!C503-1)</f>
        <v>500000</v>
      </c>
      <c r="F503" s="70">
        <v>2</v>
      </c>
      <c r="G503" s="70" t="s">
        <v>2588</v>
      </c>
      <c r="H503" s="44">
        <f>INDEX(产销规划表!$B$5:$F$16,progress!D503+2,progress!C503)</f>
        <v>200</v>
      </c>
      <c r="I503" s="70" t="s">
        <v>3068</v>
      </c>
      <c r="J503" s="70">
        <v>45000</v>
      </c>
    </row>
    <row r="504" spans="1:10" x14ac:dyDescent="0.15">
      <c r="A504" s="35">
        <v>1568</v>
      </c>
      <c r="B504" s="44" t="s">
        <v>2598</v>
      </c>
      <c r="C504" s="35">
        <f>INDEX(monster!$D$2:$D$700,MATCH(progress!A504,monster!$A$2:$A$700,0))</f>
        <v>5</v>
      </c>
      <c r="D504" s="35">
        <f>INDEX(monster!$E$2:$E$700,MATCH(progress!A504,monster!$A$2:$A$700,0))</f>
        <v>7</v>
      </c>
      <c r="E504" s="70">
        <f>INDEX(产销规划表!$G$5:$K$16,progress!D504+2,progress!C504-1)</f>
        <v>1000000</v>
      </c>
      <c r="F504" s="70">
        <v>2</v>
      </c>
      <c r="G504" s="70" t="s">
        <v>2588</v>
      </c>
      <c r="H504" s="44">
        <f>INDEX(产销规划表!$B$5:$F$16,progress!D504+2,progress!C504)</f>
        <v>350</v>
      </c>
      <c r="I504" s="70" t="s">
        <v>3068</v>
      </c>
      <c r="J504" s="70">
        <v>67500</v>
      </c>
    </row>
    <row r="505" spans="1:10" x14ac:dyDescent="0.15">
      <c r="A505" s="35">
        <v>1569</v>
      </c>
      <c r="B505" s="44" t="s">
        <v>2599</v>
      </c>
      <c r="C505" s="35">
        <f>INDEX(monster!$D$2:$D$700,MATCH(progress!A505,monster!$A$2:$A$700,0))</f>
        <v>5</v>
      </c>
      <c r="D505" s="35">
        <f>INDEX(monster!$E$2:$E$700,MATCH(progress!A505,monster!$A$2:$A$700,0))</f>
        <v>8</v>
      </c>
      <c r="E505" s="70">
        <f>INDEX(产销规划表!$G$5:$K$16,progress!D505+2,progress!C505-1)</f>
        <v>2000000</v>
      </c>
      <c r="F505" s="70">
        <v>2</v>
      </c>
      <c r="G505" s="70" t="s">
        <v>2588</v>
      </c>
      <c r="H505" s="44">
        <f>INDEX(产销规划表!$B$5:$F$16,progress!D505+2,progress!C505)</f>
        <v>600</v>
      </c>
      <c r="I505" s="70" t="s">
        <v>3068</v>
      </c>
      <c r="J505" s="70">
        <v>100000</v>
      </c>
    </row>
    <row r="506" spans="1:10" x14ac:dyDescent="0.15">
      <c r="A506" s="35">
        <v>1570</v>
      </c>
      <c r="B506" s="44" t="s">
        <v>2600</v>
      </c>
      <c r="C506" s="35">
        <f>INDEX(monster!$D$2:$D$700,MATCH(progress!A506,monster!$A$2:$A$700,0))</f>
        <v>5</v>
      </c>
      <c r="D506" s="35">
        <f>INDEX(monster!$E$2:$E$700,MATCH(progress!A506,monster!$A$2:$A$700,0))</f>
        <v>9</v>
      </c>
      <c r="E506" s="70">
        <f>INDEX(产销规划表!$G$5:$K$16,progress!D506+2,progress!C506-1)</f>
        <v>5000000</v>
      </c>
      <c r="F506" s="70">
        <v>2</v>
      </c>
      <c r="G506" s="70" t="s">
        <v>2588</v>
      </c>
      <c r="H506" s="44">
        <f>INDEX(产销规划表!$B$5:$F$16,progress!D506+2,progress!C506)</f>
        <v>1000</v>
      </c>
      <c r="I506" s="70" t="s">
        <v>3068</v>
      </c>
      <c r="J506" s="70">
        <v>150000</v>
      </c>
    </row>
    <row r="507" spans="1:10" x14ac:dyDescent="0.15">
      <c r="A507" s="35">
        <v>1571</v>
      </c>
      <c r="B507" s="44" t="s">
        <v>2601</v>
      </c>
      <c r="C507" s="35">
        <f>INDEX(monster!$D$2:$D$700,MATCH(progress!A507,monster!$A$2:$A$700,0))</f>
        <v>5</v>
      </c>
      <c r="D507" s="35">
        <f>INDEX(monster!$E$2:$E$700,MATCH(progress!A507,monster!$A$2:$A$700,0))</f>
        <v>10</v>
      </c>
      <c r="E507" s="44">
        <f>INDEX(产销规划表!$G$5:$K$16,progress!D507+2,progress!C507)</f>
        <v>-1</v>
      </c>
      <c r="F507" s="70">
        <v>2</v>
      </c>
      <c r="G507" s="70" t="s">
        <v>2588</v>
      </c>
      <c r="H507" s="44">
        <f>INDEX(产销规划表!$B$5:$F$16,progress!D507+2,progress!C507)</f>
        <v>-1</v>
      </c>
      <c r="I507" s="70" t="s">
        <v>3068</v>
      </c>
      <c r="J507" s="44">
        <v>-1</v>
      </c>
    </row>
    <row r="508" spans="1:10" x14ac:dyDescent="0.15">
      <c r="A508" s="53">
        <v>2062</v>
      </c>
      <c r="B508" s="73" t="s">
        <v>2480</v>
      </c>
      <c r="C508" s="35">
        <f>INDEX(monster!$D$2:$D$700,MATCH(progress!A508,monster!$A$2:$A$700,0))</f>
        <v>4</v>
      </c>
      <c r="D508" s="35">
        <f>INDEX(monster!$E$2:$E$700,MATCH(progress!A508,monster!$A$2:$A$700,0))</f>
        <v>0</v>
      </c>
      <c r="E508" s="70">
        <f>INDEX(产销规划表!$G$5:$K$16,progress!D508+2,progress!C508)</f>
        <v>4000</v>
      </c>
      <c r="F508" s="70">
        <v>2</v>
      </c>
      <c r="G508" s="70" t="s">
        <v>2589</v>
      </c>
      <c r="H508" s="70">
        <f>INDEX(产销规划表!$B$5:$F$16,progress!D508+2,progress!C508)</f>
        <v>5</v>
      </c>
      <c r="I508" s="70" t="s">
        <v>3068</v>
      </c>
      <c r="J508" s="70">
        <v>625</v>
      </c>
    </row>
    <row r="509" spans="1:10" x14ac:dyDescent="0.15">
      <c r="A509" s="53">
        <v>2063</v>
      </c>
      <c r="B509" s="73" t="s">
        <v>2481</v>
      </c>
      <c r="C509" s="35">
        <f>INDEX(monster!$D$2:$D$700,MATCH(progress!A509,monster!$A$2:$A$700,0))</f>
        <v>4</v>
      </c>
      <c r="D509" s="35">
        <f>INDEX(monster!$E$2:$E$700,MATCH(progress!A509,monster!$A$2:$A$700,0))</f>
        <v>1</v>
      </c>
      <c r="E509" s="70">
        <f>INDEX(产销规划表!$G$5:$K$16,progress!D509+2,progress!C509)</f>
        <v>10000</v>
      </c>
      <c r="F509" s="70">
        <v>2</v>
      </c>
      <c r="G509" s="70" t="s">
        <v>2589</v>
      </c>
      <c r="H509" s="70">
        <f>INDEX(产销规划表!$B$5:$F$16,progress!D509+2,progress!C509)</f>
        <v>10</v>
      </c>
      <c r="I509" s="70" t="s">
        <v>3068</v>
      </c>
      <c r="J509" s="70">
        <v>1000</v>
      </c>
    </row>
    <row r="510" spans="1:10" x14ac:dyDescent="0.15">
      <c r="A510" s="53">
        <v>2064</v>
      </c>
      <c r="B510" s="73" t="s">
        <v>2482</v>
      </c>
      <c r="C510" s="35">
        <f>INDEX(monster!$D$2:$D$700,MATCH(progress!A510,monster!$A$2:$A$700,0))</f>
        <v>4</v>
      </c>
      <c r="D510" s="35">
        <f>INDEX(monster!$E$2:$E$700,MATCH(progress!A510,monster!$A$2:$A$700,0))</f>
        <v>2</v>
      </c>
      <c r="E510" s="70">
        <f>INDEX(产销规划表!$G$5:$K$16,progress!D510+2,progress!C510)</f>
        <v>20000</v>
      </c>
      <c r="F510" s="70">
        <v>2</v>
      </c>
      <c r="G510" s="70" t="s">
        <v>2589</v>
      </c>
      <c r="H510" s="70">
        <f>INDEX(产销规划表!$B$5:$F$16,progress!D510+2,progress!C510)</f>
        <v>20</v>
      </c>
      <c r="I510" s="70" t="s">
        <v>3068</v>
      </c>
      <c r="J510" s="70">
        <v>1500</v>
      </c>
    </row>
    <row r="511" spans="1:10" x14ac:dyDescent="0.15">
      <c r="A511" s="53">
        <v>2065</v>
      </c>
      <c r="B511" s="73" t="s">
        <v>2483</v>
      </c>
      <c r="C511" s="35">
        <f>INDEX(monster!$D$2:$D$700,MATCH(progress!A511,monster!$A$2:$A$700,0))</f>
        <v>4</v>
      </c>
      <c r="D511" s="35">
        <f>INDEX(monster!$E$2:$E$700,MATCH(progress!A511,monster!$A$2:$A$700,0))</f>
        <v>3</v>
      </c>
      <c r="E511" s="70">
        <f>INDEX(产销规划表!$G$5:$K$16,progress!D511+2,progress!C511)</f>
        <v>40000</v>
      </c>
      <c r="F511" s="70">
        <v>2</v>
      </c>
      <c r="G511" s="70" t="s">
        <v>2589</v>
      </c>
      <c r="H511" s="70">
        <f>INDEX(产销规划表!$B$5:$F$16,progress!D511+2,progress!C511)</f>
        <v>50</v>
      </c>
      <c r="I511" s="70" t="s">
        <v>3068</v>
      </c>
      <c r="J511" s="70">
        <v>2500</v>
      </c>
    </row>
    <row r="512" spans="1:10" x14ac:dyDescent="0.15">
      <c r="A512" s="53">
        <v>2066</v>
      </c>
      <c r="B512" s="73" t="s">
        <v>2484</v>
      </c>
      <c r="C512" s="35">
        <f>INDEX(monster!$D$2:$D$700,MATCH(progress!A512,monster!$A$2:$A$700,0))</f>
        <v>4</v>
      </c>
      <c r="D512" s="35">
        <f>INDEX(monster!$E$2:$E$700,MATCH(progress!A512,monster!$A$2:$A$700,0))</f>
        <v>4</v>
      </c>
      <c r="E512" s="70">
        <f>INDEX(产销规划表!$G$5:$K$16,progress!D512+2,progress!C512)</f>
        <v>100000</v>
      </c>
      <c r="F512" s="70">
        <v>2</v>
      </c>
      <c r="G512" s="70" t="s">
        <v>2589</v>
      </c>
      <c r="H512" s="70">
        <f>INDEX(产销规划表!$B$5:$F$16,progress!D512+2,progress!C512)</f>
        <v>80</v>
      </c>
      <c r="I512" s="70" t="s">
        <v>3068</v>
      </c>
      <c r="J512" s="70">
        <v>3750</v>
      </c>
    </row>
    <row r="513" spans="1:10" x14ac:dyDescent="0.15">
      <c r="A513" s="53">
        <v>2067</v>
      </c>
      <c r="B513" s="73" t="s">
        <v>2485</v>
      </c>
      <c r="C513" s="35">
        <f>INDEX(monster!$D$2:$D$700,MATCH(progress!A513,monster!$A$2:$A$700,0))</f>
        <v>4</v>
      </c>
      <c r="D513" s="35">
        <f>INDEX(monster!$E$2:$E$700,MATCH(progress!A513,monster!$A$2:$A$700,0))</f>
        <v>5</v>
      </c>
      <c r="E513" s="70">
        <f>INDEX(产销规划表!$G$5:$K$16,progress!D513+2,progress!C513)</f>
        <v>200000</v>
      </c>
      <c r="F513" s="70">
        <v>2</v>
      </c>
      <c r="G513" s="70" t="s">
        <v>2589</v>
      </c>
      <c r="H513" s="70">
        <f>INDEX(产销规划表!$B$5:$F$16,progress!D513+2,progress!C513)</f>
        <v>120</v>
      </c>
      <c r="I513" s="70" t="s">
        <v>3068</v>
      </c>
      <c r="J513" s="70">
        <v>6250</v>
      </c>
    </row>
    <row r="514" spans="1:10" x14ac:dyDescent="0.15">
      <c r="A514" s="53">
        <v>2068</v>
      </c>
      <c r="B514" s="73" t="s">
        <v>2486</v>
      </c>
      <c r="C514" s="35">
        <f>INDEX(monster!$D$2:$D$700,MATCH(progress!A514,monster!$A$2:$A$700,0))</f>
        <v>4</v>
      </c>
      <c r="D514" s="35">
        <f>INDEX(monster!$E$2:$E$700,MATCH(progress!A514,monster!$A$2:$A$700,0))</f>
        <v>6</v>
      </c>
      <c r="E514" s="70">
        <f>INDEX(产销规划表!$G$5:$K$16,progress!D514+2,progress!C514)</f>
        <v>500000</v>
      </c>
      <c r="F514" s="70">
        <v>2</v>
      </c>
      <c r="G514" s="70" t="s">
        <v>2589</v>
      </c>
      <c r="H514" s="70">
        <f>INDEX(产销规划表!$B$5:$F$16,progress!D514+2,progress!C514)</f>
        <v>200</v>
      </c>
      <c r="I514" s="70" t="s">
        <v>3068</v>
      </c>
      <c r="J514" s="70">
        <v>10000</v>
      </c>
    </row>
    <row r="515" spans="1:10" x14ac:dyDescent="0.15">
      <c r="A515" s="53">
        <v>2069</v>
      </c>
      <c r="B515" s="73" t="s">
        <v>2487</v>
      </c>
      <c r="C515" s="35">
        <f>INDEX(monster!$D$2:$D$700,MATCH(progress!A515,monster!$A$2:$A$700,0))</f>
        <v>4</v>
      </c>
      <c r="D515" s="35">
        <f>INDEX(monster!$E$2:$E$700,MATCH(progress!A515,monster!$A$2:$A$700,0))</f>
        <v>7</v>
      </c>
      <c r="E515" s="70">
        <f>INDEX(产销规划表!$G$5:$K$16,progress!D515+2,progress!C515)</f>
        <v>1000000</v>
      </c>
      <c r="F515" s="70">
        <v>2</v>
      </c>
      <c r="G515" s="70" t="s">
        <v>2589</v>
      </c>
      <c r="H515" s="70">
        <f>INDEX(产销规划表!$B$5:$F$16,progress!D515+2,progress!C515)</f>
        <v>350</v>
      </c>
      <c r="I515" s="70" t="s">
        <v>3068</v>
      </c>
      <c r="J515" s="70">
        <v>15000</v>
      </c>
    </row>
    <row r="516" spans="1:10" x14ac:dyDescent="0.15">
      <c r="A516" s="53">
        <v>2070</v>
      </c>
      <c r="B516" s="73" t="s">
        <v>2488</v>
      </c>
      <c r="C516" s="35">
        <f>INDEX(monster!$D$2:$D$700,MATCH(progress!A516,monster!$A$2:$A$700,0))</f>
        <v>4</v>
      </c>
      <c r="D516" s="35">
        <f>INDEX(monster!$E$2:$E$700,MATCH(progress!A516,monster!$A$2:$A$700,0))</f>
        <v>8</v>
      </c>
      <c r="E516" s="70">
        <f>INDEX(产销规划表!$G$5:$K$16,progress!D516+2,progress!C516)</f>
        <v>2000000</v>
      </c>
      <c r="F516" s="70">
        <v>2</v>
      </c>
      <c r="G516" s="70" t="s">
        <v>2589</v>
      </c>
      <c r="H516" s="70">
        <f>INDEX(产销规划表!$B$5:$F$16,progress!D516+2,progress!C516)</f>
        <v>600</v>
      </c>
      <c r="I516" s="70" t="s">
        <v>3068</v>
      </c>
      <c r="J516" s="70">
        <v>22500</v>
      </c>
    </row>
    <row r="517" spans="1:10" x14ac:dyDescent="0.15">
      <c r="A517" s="53">
        <v>2071</v>
      </c>
      <c r="B517" s="73" t="s">
        <v>2489</v>
      </c>
      <c r="C517" s="35">
        <f>INDEX(monster!$D$2:$D$700,MATCH(progress!A517,monster!$A$2:$A$700,0))</f>
        <v>4</v>
      </c>
      <c r="D517" s="35">
        <f>INDEX(monster!$E$2:$E$700,MATCH(progress!A517,monster!$A$2:$A$700,0))</f>
        <v>9</v>
      </c>
      <c r="E517" s="70">
        <f>INDEX(产销规划表!$G$5:$K$16,progress!D517+2,progress!C517)</f>
        <v>5000000</v>
      </c>
      <c r="F517" s="70">
        <v>2</v>
      </c>
      <c r="G517" s="70" t="s">
        <v>2589</v>
      </c>
      <c r="H517" s="70">
        <f>INDEX(产销规划表!$B$5:$F$16,progress!D517+2,progress!C517)</f>
        <v>1000</v>
      </c>
      <c r="I517" s="70" t="s">
        <v>3068</v>
      </c>
      <c r="J517" s="70">
        <v>35000</v>
      </c>
    </row>
    <row r="518" spans="1:10" x14ac:dyDescent="0.15">
      <c r="A518" s="53">
        <v>2072</v>
      </c>
      <c r="B518" s="73" t="s">
        <v>2490</v>
      </c>
      <c r="C518" s="35">
        <f>INDEX(monster!$D$2:$D$700,MATCH(progress!A518,monster!$A$2:$A$700,0))</f>
        <v>4</v>
      </c>
      <c r="D518" s="35">
        <f>INDEX(monster!$E$2:$E$700,MATCH(progress!A518,monster!$A$2:$A$700,0))</f>
        <v>10</v>
      </c>
      <c r="E518" s="70">
        <f>INDEX(产销规划表!$G$5:$K$16,progress!D518+2,progress!C518)</f>
        <v>-1</v>
      </c>
      <c r="F518" s="70">
        <v>2</v>
      </c>
      <c r="G518" s="70" t="s">
        <v>2589</v>
      </c>
      <c r="H518" s="70">
        <f>INDEX(产销规划表!$B$5:$F$16,progress!D518+2,progress!C518)</f>
        <v>-1</v>
      </c>
      <c r="I518" s="70" t="s">
        <v>3068</v>
      </c>
      <c r="J518" s="70">
        <v>-1</v>
      </c>
    </row>
    <row r="519" spans="1:10" x14ac:dyDescent="0.15">
      <c r="A519" s="53">
        <v>2075</v>
      </c>
      <c r="B519" s="79" t="s">
        <v>2714</v>
      </c>
      <c r="C519" s="35">
        <f>INDEX(monster!$D$2:$D$700,MATCH(progress!A519,monster!$A$2:$A$700,0))</f>
        <v>1</v>
      </c>
      <c r="D519" s="35">
        <f>INDEX(monster!$E$2:$E$700,MATCH(progress!A519,monster!$A$2:$A$700,0))</f>
        <v>0</v>
      </c>
      <c r="E519" s="44">
        <f>INDEX(产销规划表!$G$5:$K$16,progress!D519+2,progress!C519)</f>
        <v>100</v>
      </c>
      <c r="F519" s="70">
        <v>2</v>
      </c>
      <c r="G519" s="44" t="s">
        <v>2725</v>
      </c>
      <c r="H519" s="44">
        <f>INDEX(产销规划表!$B$5:$F$16,progress!D519+2,progress!C519)</f>
        <v>5</v>
      </c>
      <c r="I519" s="70" t="s">
        <v>3068</v>
      </c>
      <c r="J519" s="44">
        <v>125</v>
      </c>
    </row>
    <row r="520" spans="1:10" x14ac:dyDescent="0.15">
      <c r="A520" s="53">
        <v>2076</v>
      </c>
      <c r="B520" s="79" t="s">
        <v>2715</v>
      </c>
      <c r="C520" s="35">
        <f>INDEX(monster!$D$2:$D$700,MATCH(progress!A520,monster!$A$2:$A$700,0))</f>
        <v>1</v>
      </c>
      <c r="D520" s="35">
        <f>INDEX(monster!$E$2:$E$700,MATCH(progress!A520,monster!$A$2:$A$700,0))</f>
        <v>1</v>
      </c>
      <c r="E520" s="44">
        <f>INDEX(产销规划表!$G$5:$K$16,progress!D520+2,progress!C520)</f>
        <v>200</v>
      </c>
      <c r="F520" s="70">
        <v>2</v>
      </c>
      <c r="G520" s="70" t="s">
        <v>2725</v>
      </c>
      <c r="H520" s="44">
        <f>INDEX(产销规划表!$B$5:$F$16,progress!D520+2,progress!C520)</f>
        <v>10</v>
      </c>
      <c r="I520" s="70" t="s">
        <v>3068</v>
      </c>
      <c r="J520" s="44">
        <v>250</v>
      </c>
    </row>
    <row r="521" spans="1:10" x14ac:dyDescent="0.15">
      <c r="A521" s="53">
        <v>2077</v>
      </c>
      <c r="B521" s="79" t="s">
        <v>2716</v>
      </c>
      <c r="C521" s="35">
        <f>INDEX(monster!$D$2:$D$700,MATCH(progress!A521,monster!$A$2:$A$700,0))</f>
        <v>1</v>
      </c>
      <c r="D521" s="35">
        <f>INDEX(monster!$E$2:$E$700,MATCH(progress!A521,monster!$A$2:$A$700,0))</f>
        <v>2</v>
      </c>
      <c r="E521" s="44">
        <f>INDEX(产销规划表!$G$5:$K$16,progress!D521+2,progress!C521)</f>
        <v>500</v>
      </c>
      <c r="F521" s="70">
        <v>2</v>
      </c>
      <c r="G521" s="70" t="s">
        <v>2725</v>
      </c>
      <c r="H521" s="44">
        <f>INDEX(产销规划表!$B$5:$F$16,progress!D521+2,progress!C521)</f>
        <v>20</v>
      </c>
      <c r="I521" s="70" t="s">
        <v>3068</v>
      </c>
      <c r="J521" s="44">
        <v>375</v>
      </c>
    </row>
    <row r="522" spans="1:10" x14ac:dyDescent="0.15">
      <c r="A522" s="53">
        <v>2078</v>
      </c>
      <c r="B522" s="79" t="s">
        <v>2717</v>
      </c>
      <c r="C522" s="35">
        <f>INDEX(monster!$D$2:$D$700,MATCH(progress!A522,monster!$A$2:$A$700,0))</f>
        <v>1</v>
      </c>
      <c r="D522" s="35">
        <f>INDEX(monster!$E$2:$E$700,MATCH(progress!A522,monster!$A$2:$A$700,0))</f>
        <v>3</v>
      </c>
      <c r="E522" s="44">
        <f>INDEX(产销规划表!$G$5:$K$16,progress!D522+2,progress!C522)</f>
        <v>1500</v>
      </c>
      <c r="F522" s="70">
        <v>2</v>
      </c>
      <c r="G522" s="70" t="s">
        <v>2725</v>
      </c>
      <c r="H522" s="44">
        <f>INDEX(产销规划表!$B$5:$F$16,progress!D522+2,progress!C522)</f>
        <v>50</v>
      </c>
      <c r="I522" s="70" t="s">
        <v>3068</v>
      </c>
      <c r="J522" s="44">
        <v>625</v>
      </c>
    </row>
    <row r="523" spans="1:10" x14ac:dyDescent="0.15">
      <c r="A523" s="53">
        <v>2079</v>
      </c>
      <c r="B523" s="79" t="s">
        <v>2718</v>
      </c>
      <c r="C523" s="35">
        <f>INDEX(monster!$D$2:$D$700,MATCH(progress!A523,monster!$A$2:$A$700,0))</f>
        <v>1</v>
      </c>
      <c r="D523" s="35">
        <f>INDEX(monster!$E$2:$E$700,MATCH(progress!A523,monster!$A$2:$A$700,0))</f>
        <v>4</v>
      </c>
      <c r="E523" s="44">
        <f>INDEX(产销规划表!$G$5:$K$16,progress!D523+2,progress!C523)</f>
        <v>4000</v>
      </c>
      <c r="F523" s="70">
        <v>2</v>
      </c>
      <c r="G523" s="70" t="s">
        <v>2725</v>
      </c>
      <c r="H523" s="44">
        <f>INDEX(产销规划表!$B$5:$F$16,progress!D523+2,progress!C523)</f>
        <v>80</v>
      </c>
      <c r="I523" s="70" t="s">
        <v>3068</v>
      </c>
      <c r="J523" s="44">
        <v>1000</v>
      </c>
    </row>
    <row r="524" spans="1:10" x14ac:dyDescent="0.15">
      <c r="A524" s="53">
        <v>2080</v>
      </c>
      <c r="B524" s="79" t="s">
        <v>2719</v>
      </c>
      <c r="C524" s="35">
        <f>INDEX(monster!$D$2:$D$700,MATCH(progress!A524,monster!$A$2:$A$700,0))</f>
        <v>1</v>
      </c>
      <c r="D524" s="35">
        <f>INDEX(monster!$E$2:$E$700,MATCH(progress!A524,monster!$A$2:$A$700,0))</f>
        <v>5</v>
      </c>
      <c r="E524" s="44">
        <f>INDEX(产销规划表!$G$5:$K$16,progress!D524+2,progress!C524)</f>
        <v>10000</v>
      </c>
      <c r="F524" s="70">
        <v>2</v>
      </c>
      <c r="G524" s="70" t="s">
        <v>2725</v>
      </c>
      <c r="H524" s="44">
        <f>INDEX(产销规划表!$B$5:$F$16,progress!D524+2,progress!C524)</f>
        <v>120</v>
      </c>
      <c r="I524" s="70" t="s">
        <v>3068</v>
      </c>
      <c r="J524" s="44">
        <v>1625</v>
      </c>
    </row>
    <row r="525" spans="1:10" x14ac:dyDescent="0.15">
      <c r="A525" s="53">
        <v>2081</v>
      </c>
      <c r="B525" s="79" t="s">
        <v>2720</v>
      </c>
      <c r="C525" s="35">
        <f>INDEX(monster!$D$2:$D$700,MATCH(progress!A525,monster!$A$2:$A$700,0))</f>
        <v>1</v>
      </c>
      <c r="D525" s="35">
        <f>INDEX(monster!$E$2:$E$700,MATCH(progress!A525,monster!$A$2:$A$700,0))</f>
        <v>6</v>
      </c>
      <c r="E525" s="44">
        <f>INDEX(产销规划表!$G$5:$K$16,progress!D525+2,progress!C525)</f>
        <v>20000</v>
      </c>
      <c r="F525" s="70">
        <v>2</v>
      </c>
      <c r="G525" s="70" t="s">
        <v>2725</v>
      </c>
      <c r="H525" s="44">
        <f>INDEX(产销规划表!$B$5:$F$16,progress!D525+2,progress!C525)</f>
        <v>200</v>
      </c>
      <c r="I525" s="70" t="s">
        <v>3068</v>
      </c>
      <c r="J525" s="44">
        <v>2500</v>
      </c>
    </row>
    <row r="526" spans="1:10" x14ac:dyDescent="0.15">
      <c r="A526" s="53">
        <v>2082</v>
      </c>
      <c r="B526" s="79" t="s">
        <v>2721</v>
      </c>
      <c r="C526" s="35">
        <f>INDEX(monster!$D$2:$D$700,MATCH(progress!A526,monster!$A$2:$A$700,0))</f>
        <v>1</v>
      </c>
      <c r="D526" s="35">
        <f>INDEX(monster!$E$2:$E$700,MATCH(progress!A526,monster!$A$2:$A$700,0))</f>
        <v>7</v>
      </c>
      <c r="E526" s="44">
        <f>INDEX(产销规划表!$G$5:$K$16,progress!D526+2,progress!C526)</f>
        <v>40000</v>
      </c>
      <c r="F526" s="70">
        <v>2</v>
      </c>
      <c r="G526" s="70" t="s">
        <v>2725</v>
      </c>
      <c r="H526" s="44">
        <f>INDEX(产销规划表!$B$5:$F$16,progress!D526+2,progress!C526)</f>
        <v>350</v>
      </c>
      <c r="I526" s="70" t="s">
        <v>3068</v>
      </c>
      <c r="J526" s="44">
        <v>3750</v>
      </c>
    </row>
    <row r="527" spans="1:10" x14ac:dyDescent="0.15">
      <c r="A527" s="53">
        <v>2083</v>
      </c>
      <c r="B527" s="79" t="s">
        <v>2722</v>
      </c>
      <c r="C527" s="35">
        <f>INDEX(monster!$D$2:$D$700,MATCH(progress!A527,monster!$A$2:$A$700,0))</f>
        <v>1</v>
      </c>
      <c r="D527" s="35">
        <f>INDEX(monster!$E$2:$E$700,MATCH(progress!A527,monster!$A$2:$A$700,0))</f>
        <v>8</v>
      </c>
      <c r="E527" s="44">
        <f>INDEX(产销规划表!$G$5:$K$16,progress!D527+2,progress!C527)</f>
        <v>100000</v>
      </c>
      <c r="F527" s="70">
        <v>2</v>
      </c>
      <c r="G527" s="70" t="s">
        <v>2725</v>
      </c>
      <c r="H527" s="44">
        <f>INDEX(产销规划表!$B$5:$F$16,progress!D527+2,progress!C527)</f>
        <v>600</v>
      </c>
      <c r="I527" s="70" t="s">
        <v>3068</v>
      </c>
      <c r="J527" s="44">
        <v>5750</v>
      </c>
    </row>
    <row r="528" spans="1:10" x14ac:dyDescent="0.15">
      <c r="A528" s="53">
        <v>2084</v>
      </c>
      <c r="B528" s="79" t="s">
        <v>2723</v>
      </c>
      <c r="C528" s="35">
        <f>INDEX(monster!$D$2:$D$700,MATCH(progress!A528,monster!$A$2:$A$700,0))</f>
        <v>1</v>
      </c>
      <c r="D528" s="35">
        <f>INDEX(monster!$E$2:$E$700,MATCH(progress!A528,monster!$A$2:$A$700,0))</f>
        <v>9</v>
      </c>
      <c r="E528" s="44">
        <f>INDEX(产销规划表!$G$5:$K$16,progress!D528+2,progress!C528)</f>
        <v>200000</v>
      </c>
      <c r="F528" s="70">
        <v>2</v>
      </c>
      <c r="G528" s="70" t="s">
        <v>2725</v>
      </c>
      <c r="H528" s="44">
        <f>INDEX(产销规划表!$B$5:$F$16,progress!D528+2,progress!C528)</f>
        <v>1000</v>
      </c>
      <c r="I528" s="70" t="s">
        <v>3068</v>
      </c>
      <c r="J528" s="44">
        <v>9000</v>
      </c>
    </row>
    <row r="529" spans="1:10" x14ac:dyDescent="0.15">
      <c r="A529" s="53">
        <v>2085</v>
      </c>
      <c r="B529" s="79" t="s">
        <v>2724</v>
      </c>
      <c r="C529" s="35">
        <f>INDEX(monster!$D$2:$D$700,MATCH(progress!A529,monster!$A$2:$A$700,0))</f>
        <v>1</v>
      </c>
      <c r="D529" s="35">
        <f>INDEX(monster!$E$2:$E$700,MATCH(progress!A529,monster!$A$2:$A$700,0))</f>
        <v>10</v>
      </c>
      <c r="E529" s="44">
        <f>INDEX(产销规划表!$G$5:$K$16,progress!D529+2,progress!C529)</f>
        <v>-1</v>
      </c>
      <c r="F529" s="70">
        <v>2</v>
      </c>
      <c r="G529" s="70" t="s">
        <v>2725</v>
      </c>
      <c r="H529" s="44">
        <f>INDEX(产销规划表!$B$5:$F$16,progress!D529+2,progress!C529)</f>
        <v>-1</v>
      </c>
      <c r="I529" s="70" t="s">
        <v>3068</v>
      </c>
      <c r="J529" s="44">
        <v>-1</v>
      </c>
    </row>
    <row r="530" spans="1:10" x14ac:dyDescent="0.15">
      <c r="A530" s="53">
        <v>2088</v>
      </c>
      <c r="B530" s="79" t="s">
        <v>2912</v>
      </c>
      <c r="C530" s="35">
        <f>INDEX(monster!$D$2:$D$700,MATCH(progress!A530,monster!$A$2:$A$700,0))</f>
        <v>3</v>
      </c>
      <c r="D530" s="35">
        <f>INDEX(monster!$E$2:$E$700,MATCH(progress!A530,monster!$A$2:$A$700,0))</f>
        <v>0</v>
      </c>
      <c r="E530" s="70">
        <f>INDEX(产销规划表!$G$5:$K$16,progress!D530+2,progress!C530)</f>
        <v>500</v>
      </c>
      <c r="F530" s="70">
        <v>2</v>
      </c>
      <c r="G530" s="44" t="s">
        <v>2913</v>
      </c>
      <c r="H530" s="70">
        <f>INDEX(产销规划表!$B$5:$F$16,progress!D530+2,progress!C530)</f>
        <v>5</v>
      </c>
      <c r="I530" s="70" t="s">
        <v>3068</v>
      </c>
      <c r="J530" s="70">
        <v>250</v>
      </c>
    </row>
    <row r="531" spans="1:10" x14ac:dyDescent="0.15">
      <c r="A531" s="53">
        <v>2089</v>
      </c>
      <c r="B531" s="79" t="s">
        <v>2900</v>
      </c>
      <c r="C531" s="35">
        <f>INDEX(monster!$D$2:$D$700,MATCH(progress!A531,monster!$A$2:$A$700,0))</f>
        <v>3</v>
      </c>
      <c r="D531" s="35">
        <f>INDEX(monster!$E$2:$E$700,MATCH(progress!A531,monster!$A$2:$A$700,0))</f>
        <v>1</v>
      </c>
      <c r="E531" s="70">
        <f>INDEX(产销规划表!$G$5:$K$16,progress!D531+2,progress!C531)</f>
        <v>1500</v>
      </c>
      <c r="F531" s="70">
        <v>2</v>
      </c>
      <c r="G531" s="70" t="s">
        <v>2913</v>
      </c>
      <c r="H531" s="70">
        <f>INDEX(产销规划表!$B$5:$F$16,progress!D531+2,progress!C531)</f>
        <v>10</v>
      </c>
      <c r="I531" s="70" t="s">
        <v>3068</v>
      </c>
      <c r="J531" s="70">
        <v>500</v>
      </c>
    </row>
    <row r="532" spans="1:10" x14ac:dyDescent="0.15">
      <c r="A532" s="53">
        <v>2090</v>
      </c>
      <c r="B532" s="79" t="s">
        <v>2901</v>
      </c>
      <c r="C532" s="35">
        <f>INDEX(monster!$D$2:$D$700,MATCH(progress!A532,monster!$A$2:$A$700,0))</f>
        <v>3</v>
      </c>
      <c r="D532" s="35">
        <f>INDEX(monster!$E$2:$E$700,MATCH(progress!A532,monster!$A$2:$A$700,0))</f>
        <v>2</v>
      </c>
      <c r="E532" s="70">
        <f>INDEX(产销规划表!$G$5:$K$16,progress!D532+2,progress!C532)</f>
        <v>4000</v>
      </c>
      <c r="F532" s="70">
        <v>2</v>
      </c>
      <c r="G532" s="70" t="s">
        <v>2913</v>
      </c>
      <c r="H532" s="70">
        <f>INDEX(产销规划表!$B$5:$F$16,progress!D532+2,progress!C532)</f>
        <v>20</v>
      </c>
      <c r="I532" s="70" t="s">
        <v>3068</v>
      </c>
      <c r="J532" s="70">
        <v>750</v>
      </c>
    </row>
    <row r="533" spans="1:10" x14ac:dyDescent="0.15">
      <c r="A533" s="53">
        <v>2091</v>
      </c>
      <c r="B533" s="79" t="s">
        <v>2902</v>
      </c>
      <c r="C533" s="35">
        <f>INDEX(monster!$D$2:$D$700,MATCH(progress!A533,monster!$A$2:$A$700,0))</f>
        <v>3</v>
      </c>
      <c r="D533" s="35">
        <f>INDEX(monster!$E$2:$E$700,MATCH(progress!A533,monster!$A$2:$A$700,0))</f>
        <v>3</v>
      </c>
      <c r="E533" s="70">
        <f>INDEX(产销规划表!$G$5:$K$16,progress!D533+2,progress!C533)</f>
        <v>10000</v>
      </c>
      <c r="F533" s="70">
        <v>2</v>
      </c>
      <c r="G533" s="70" t="s">
        <v>2913</v>
      </c>
      <c r="H533" s="70">
        <f>INDEX(产销规划表!$B$5:$F$16,progress!D533+2,progress!C533)</f>
        <v>50</v>
      </c>
      <c r="I533" s="70" t="s">
        <v>3068</v>
      </c>
      <c r="J533" s="70">
        <v>1250</v>
      </c>
    </row>
    <row r="534" spans="1:10" x14ac:dyDescent="0.15">
      <c r="A534" s="53">
        <v>2092</v>
      </c>
      <c r="B534" s="79" t="s">
        <v>2903</v>
      </c>
      <c r="C534" s="35">
        <f>INDEX(monster!$D$2:$D$700,MATCH(progress!A534,monster!$A$2:$A$700,0))</f>
        <v>3</v>
      </c>
      <c r="D534" s="35">
        <f>INDEX(monster!$E$2:$E$700,MATCH(progress!A534,monster!$A$2:$A$700,0))</f>
        <v>4</v>
      </c>
      <c r="E534" s="70">
        <f>INDEX(产销规划表!$G$5:$K$16,progress!D534+2,progress!C534)</f>
        <v>20000</v>
      </c>
      <c r="F534" s="70">
        <v>2</v>
      </c>
      <c r="G534" s="70" t="s">
        <v>2913</v>
      </c>
      <c r="H534" s="70">
        <f>INDEX(产销规划表!$B$5:$F$16,progress!D534+2,progress!C534)</f>
        <v>80</v>
      </c>
      <c r="I534" s="70" t="s">
        <v>3068</v>
      </c>
      <c r="J534" s="70">
        <v>2000</v>
      </c>
    </row>
    <row r="535" spans="1:10" x14ac:dyDescent="0.15">
      <c r="A535" s="53">
        <v>2093</v>
      </c>
      <c r="B535" s="79" t="s">
        <v>2904</v>
      </c>
      <c r="C535" s="35">
        <f>INDEX(monster!$D$2:$D$700,MATCH(progress!A535,monster!$A$2:$A$700,0))</f>
        <v>3</v>
      </c>
      <c r="D535" s="35">
        <f>INDEX(monster!$E$2:$E$700,MATCH(progress!A535,monster!$A$2:$A$700,0))</f>
        <v>5</v>
      </c>
      <c r="E535" s="70">
        <f>INDEX(产销规划表!$G$5:$K$16,progress!D535+2,progress!C535)</f>
        <v>40000</v>
      </c>
      <c r="F535" s="70">
        <v>2</v>
      </c>
      <c r="G535" s="70" t="s">
        <v>2913</v>
      </c>
      <c r="H535" s="70">
        <f>INDEX(产销规划表!$B$5:$F$16,progress!D535+2,progress!C535)</f>
        <v>120</v>
      </c>
      <c r="I535" s="70" t="s">
        <v>3068</v>
      </c>
      <c r="J535" s="70">
        <v>3250</v>
      </c>
    </row>
    <row r="536" spans="1:10" x14ac:dyDescent="0.15">
      <c r="A536" s="53">
        <v>2094</v>
      </c>
      <c r="B536" s="79" t="s">
        <v>2905</v>
      </c>
      <c r="C536" s="35">
        <f>INDEX(monster!$D$2:$D$700,MATCH(progress!A536,monster!$A$2:$A$700,0))</f>
        <v>3</v>
      </c>
      <c r="D536" s="35">
        <f>INDEX(monster!$E$2:$E$700,MATCH(progress!A536,monster!$A$2:$A$700,0))</f>
        <v>6</v>
      </c>
      <c r="E536" s="70">
        <f>INDEX(产销规划表!$G$5:$K$16,progress!D536+2,progress!C536)</f>
        <v>100000</v>
      </c>
      <c r="F536" s="70">
        <v>2</v>
      </c>
      <c r="G536" s="70" t="s">
        <v>2913</v>
      </c>
      <c r="H536" s="70">
        <f>INDEX(产销规划表!$B$5:$F$16,progress!D536+2,progress!C536)</f>
        <v>200</v>
      </c>
      <c r="I536" s="70" t="s">
        <v>3068</v>
      </c>
      <c r="J536" s="70">
        <v>5000</v>
      </c>
    </row>
    <row r="537" spans="1:10" x14ac:dyDescent="0.15">
      <c r="A537" s="53">
        <v>2095</v>
      </c>
      <c r="B537" s="79" t="s">
        <v>2906</v>
      </c>
      <c r="C537" s="35">
        <f>INDEX(monster!$D$2:$D$700,MATCH(progress!A537,monster!$A$2:$A$700,0))</f>
        <v>3</v>
      </c>
      <c r="D537" s="35">
        <f>INDEX(monster!$E$2:$E$700,MATCH(progress!A537,monster!$A$2:$A$700,0))</f>
        <v>7</v>
      </c>
      <c r="E537" s="70">
        <f>INDEX(产销规划表!$G$5:$K$16,progress!D537+2,progress!C537)</f>
        <v>200000</v>
      </c>
      <c r="F537" s="70">
        <v>2</v>
      </c>
      <c r="G537" s="70" t="s">
        <v>2913</v>
      </c>
      <c r="H537" s="70">
        <f>INDEX(产销规划表!$B$5:$F$16,progress!D537+2,progress!C537)</f>
        <v>350</v>
      </c>
      <c r="I537" s="70" t="s">
        <v>3068</v>
      </c>
      <c r="J537" s="70">
        <v>7500</v>
      </c>
    </row>
    <row r="538" spans="1:10" x14ac:dyDescent="0.15">
      <c r="A538" s="53">
        <v>2096</v>
      </c>
      <c r="B538" s="79" t="s">
        <v>2907</v>
      </c>
      <c r="C538" s="35">
        <f>INDEX(monster!$D$2:$D$700,MATCH(progress!A538,monster!$A$2:$A$700,0))</f>
        <v>3</v>
      </c>
      <c r="D538" s="35">
        <f>INDEX(monster!$E$2:$E$700,MATCH(progress!A538,monster!$A$2:$A$700,0))</f>
        <v>8</v>
      </c>
      <c r="E538" s="70">
        <f>INDEX(产销规划表!$G$5:$K$16,progress!D538+2,progress!C538)</f>
        <v>500000</v>
      </c>
      <c r="F538" s="70">
        <v>2</v>
      </c>
      <c r="G538" s="70" t="s">
        <v>2913</v>
      </c>
      <c r="H538" s="70">
        <f>INDEX(产销规划表!$B$5:$F$16,progress!D538+2,progress!C538)</f>
        <v>600</v>
      </c>
      <c r="I538" s="70" t="s">
        <v>3068</v>
      </c>
      <c r="J538" s="70">
        <v>11250</v>
      </c>
    </row>
    <row r="539" spans="1:10" x14ac:dyDescent="0.15">
      <c r="A539" s="53">
        <v>2097</v>
      </c>
      <c r="B539" s="79" t="s">
        <v>2908</v>
      </c>
      <c r="C539" s="35">
        <f>INDEX(monster!$D$2:$D$700,MATCH(progress!A539,monster!$A$2:$A$700,0))</f>
        <v>3</v>
      </c>
      <c r="D539" s="35">
        <f>INDEX(monster!$E$2:$E$700,MATCH(progress!A539,monster!$A$2:$A$700,0))</f>
        <v>9</v>
      </c>
      <c r="E539" s="70">
        <f>INDEX(产销规划表!$G$5:$K$16,progress!D539+2,progress!C539)</f>
        <v>1000000</v>
      </c>
      <c r="F539" s="70">
        <v>2</v>
      </c>
      <c r="G539" s="70" t="s">
        <v>2913</v>
      </c>
      <c r="H539" s="70">
        <f>INDEX(产销规划表!$B$5:$F$16,progress!D539+2,progress!C539)</f>
        <v>1000</v>
      </c>
      <c r="I539" s="70" t="s">
        <v>3068</v>
      </c>
      <c r="J539" s="70">
        <v>18000</v>
      </c>
    </row>
    <row r="540" spans="1:10" x14ac:dyDescent="0.15">
      <c r="A540" s="53">
        <v>2098</v>
      </c>
      <c r="B540" s="79" t="s">
        <v>2909</v>
      </c>
      <c r="C540" s="35">
        <f>INDEX(monster!$D$2:$D$700,MATCH(progress!A540,monster!$A$2:$A$700,0))</f>
        <v>3</v>
      </c>
      <c r="D540" s="35">
        <f>INDEX(monster!$E$2:$E$700,MATCH(progress!A540,monster!$A$2:$A$700,0))</f>
        <v>10</v>
      </c>
      <c r="E540" s="70">
        <f>INDEX(产销规划表!$G$5:$K$16,progress!D540+2,progress!C540)</f>
        <v>-1</v>
      </c>
      <c r="F540" s="70">
        <v>2</v>
      </c>
      <c r="G540" s="70" t="s">
        <v>2913</v>
      </c>
      <c r="H540" s="70">
        <f>INDEX(产销规划表!$B$5:$F$16,progress!D540+2,progress!C540)</f>
        <v>-1</v>
      </c>
      <c r="I540" s="70" t="s">
        <v>3068</v>
      </c>
      <c r="J540" s="70">
        <v>-1</v>
      </c>
    </row>
    <row r="541" spans="1:10" x14ac:dyDescent="0.15">
      <c r="A541" s="53">
        <v>2099</v>
      </c>
      <c r="B541" s="79" t="s">
        <v>3037</v>
      </c>
      <c r="C541" s="35">
        <f>INDEX(monster!$D$2:$D$700,MATCH(progress!A541,monster!$A$2:$A$700,0))</f>
        <v>1</v>
      </c>
      <c r="D541" s="35">
        <f>INDEX(monster!$E$2:$E$700,MATCH(progress!A541,monster!$A$2:$A$700,0))</f>
        <v>0</v>
      </c>
      <c r="E541" s="70">
        <f>INDEX(产销规划表!$G$5:$K$16,progress!D541+2,progress!C541)</f>
        <v>100</v>
      </c>
      <c r="F541" s="70">
        <v>2</v>
      </c>
      <c r="G541" s="79" t="s">
        <v>3059</v>
      </c>
      <c r="H541" s="70">
        <f>INDEX(产销规划表!$B$5:$F$16,progress!D541+2,progress!C541)</f>
        <v>5</v>
      </c>
      <c r="I541" s="70" t="s">
        <v>3068</v>
      </c>
      <c r="J541" s="70">
        <v>125</v>
      </c>
    </row>
    <row r="542" spans="1:10" x14ac:dyDescent="0.15">
      <c r="A542" s="53">
        <v>2100</v>
      </c>
      <c r="B542" s="79" t="s">
        <v>3038</v>
      </c>
      <c r="C542" s="35">
        <f>INDEX(monster!$D$2:$D$700,MATCH(progress!A542,monster!$A$2:$A$700,0))</f>
        <v>1</v>
      </c>
      <c r="D542" s="35">
        <f>INDEX(monster!$E$2:$E$700,MATCH(progress!A542,monster!$A$2:$A$700,0))</f>
        <v>1</v>
      </c>
      <c r="E542" s="70">
        <f>INDEX(产销规划表!$G$5:$K$16,progress!D542+2,progress!C542)</f>
        <v>200</v>
      </c>
      <c r="F542" s="70">
        <v>2</v>
      </c>
      <c r="G542" s="79" t="s">
        <v>3059</v>
      </c>
      <c r="H542" s="70">
        <f>INDEX(产销规划表!$B$5:$F$16,progress!D542+2,progress!C542)</f>
        <v>10</v>
      </c>
      <c r="I542" s="70" t="s">
        <v>3068</v>
      </c>
      <c r="J542" s="70">
        <v>250</v>
      </c>
    </row>
    <row r="543" spans="1:10" x14ac:dyDescent="0.15">
      <c r="A543" s="53">
        <v>2101</v>
      </c>
      <c r="B543" s="79" t="s">
        <v>3039</v>
      </c>
      <c r="C543" s="35">
        <f>INDEX(monster!$D$2:$D$700,MATCH(progress!A543,monster!$A$2:$A$700,0))</f>
        <v>1</v>
      </c>
      <c r="D543" s="35">
        <f>INDEX(monster!$E$2:$E$700,MATCH(progress!A543,monster!$A$2:$A$700,0))</f>
        <v>2</v>
      </c>
      <c r="E543" s="70">
        <f>INDEX(产销规划表!$G$5:$K$16,progress!D543+2,progress!C543)</f>
        <v>500</v>
      </c>
      <c r="F543" s="70">
        <v>2</v>
      </c>
      <c r="G543" s="79" t="s">
        <v>3059</v>
      </c>
      <c r="H543" s="70">
        <f>INDEX(产销规划表!$B$5:$F$16,progress!D543+2,progress!C543)</f>
        <v>20</v>
      </c>
      <c r="I543" s="70" t="s">
        <v>3068</v>
      </c>
      <c r="J543" s="70">
        <v>375</v>
      </c>
    </row>
    <row r="544" spans="1:10" x14ac:dyDescent="0.15">
      <c r="A544" s="53">
        <v>2102</v>
      </c>
      <c r="B544" s="79" t="s">
        <v>3040</v>
      </c>
      <c r="C544" s="35">
        <f>INDEX(monster!$D$2:$D$700,MATCH(progress!A544,monster!$A$2:$A$700,0))</f>
        <v>1</v>
      </c>
      <c r="D544" s="35">
        <f>INDEX(monster!$E$2:$E$700,MATCH(progress!A544,monster!$A$2:$A$700,0))</f>
        <v>3</v>
      </c>
      <c r="E544" s="70">
        <f>INDEX(产销规划表!$G$5:$K$16,progress!D544+2,progress!C544)</f>
        <v>1500</v>
      </c>
      <c r="F544" s="70">
        <v>2</v>
      </c>
      <c r="G544" s="79" t="s">
        <v>3059</v>
      </c>
      <c r="H544" s="70">
        <f>INDEX(产销规划表!$B$5:$F$16,progress!D544+2,progress!C544)</f>
        <v>50</v>
      </c>
      <c r="I544" s="70" t="s">
        <v>3068</v>
      </c>
      <c r="J544" s="70">
        <v>625</v>
      </c>
    </row>
    <row r="545" spans="1:10" x14ac:dyDescent="0.15">
      <c r="A545" s="53">
        <v>2103</v>
      </c>
      <c r="B545" s="79" t="s">
        <v>3041</v>
      </c>
      <c r="C545" s="35">
        <f>INDEX(monster!$D$2:$D$700,MATCH(progress!A545,monster!$A$2:$A$700,0))</f>
        <v>1</v>
      </c>
      <c r="D545" s="35">
        <f>INDEX(monster!$E$2:$E$700,MATCH(progress!A545,monster!$A$2:$A$700,0))</f>
        <v>4</v>
      </c>
      <c r="E545" s="70">
        <f>INDEX(产销规划表!$G$5:$K$16,progress!D545+2,progress!C545)</f>
        <v>4000</v>
      </c>
      <c r="F545" s="70">
        <v>2</v>
      </c>
      <c r="G545" s="79" t="s">
        <v>3059</v>
      </c>
      <c r="H545" s="70">
        <f>INDEX(产销规划表!$B$5:$F$16,progress!D545+2,progress!C545)</f>
        <v>80</v>
      </c>
      <c r="I545" s="70" t="s">
        <v>3068</v>
      </c>
      <c r="J545" s="70">
        <v>1000</v>
      </c>
    </row>
    <row r="546" spans="1:10" x14ac:dyDescent="0.15">
      <c r="A546" s="53">
        <v>2104</v>
      </c>
      <c r="B546" s="79" t="s">
        <v>3042</v>
      </c>
      <c r="C546" s="35">
        <f>INDEX(monster!$D$2:$D$700,MATCH(progress!A546,monster!$A$2:$A$700,0))</f>
        <v>1</v>
      </c>
      <c r="D546" s="35">
        <f>INDEX(monster!$E$2:$E$700,MATCH(progress!A546,monster!$A$2:$A$700,0))</f>
        <v>5</v>
      </c>
      <c r="E546" s="70">
        <f>INDEX(产销规划表!$G$5:$K$16,progress!D546+2,progress!C546)</f>
        <v>10000</v>
      </c>
      <c r="F546" s="70">
        <v>2</v>
      </c>
      <c r="G546" s="79" t="s">
        <v>3059</v>
      </c>
      <c r="H546" s="70">
        <f>INDEX(产销规划表!$B$5:$F$16,progress!D546+2,progress!C546)</f>
        <v>120</v>
      </c>
      <c r="I546" s="70" t="s">
        <v>3068</v>
      </c>
      <c r="J546" s="70">
        <v>1625</v>
      </c>
    </row>
    <row r="547" spans="1:10" x14ac:dyDescent="0.15">
      <c r="A547" s="53">
        <v>2105</v>
      </c>
      <c r="B547" s="79" t="s">
        <v>3043</v>
      </c>
      <c r="C547" s="35">
        <f>INDEX(monster!$D$2:$D$700,MATCH(progress!A547,monster!$A$2:$A$700,0))</f>
        <v>1</v>
      </c>
      <c r="D547" s="35">
        <f>INDEX(monster!$E$2:$E$700,MATCH(progress!A547,monster!$A$2:$A$700,0))</f>
        <v>6</v>
      </c>
      <c r="E547" s="70">
        <f>INDEX(产销规划表!$G$5:$K$16,progress!D547+2,progress!C547)</f>
        <v>20000</v>
      </c>
      <c r="F547" s="70">
        <v>2</v>
      </c>
      <c r="G547" s="79" t="s">
        <v>3059</v>
      </c>
      <c r="H547" s="70">
        <f>INDEX(产销规划表!$B$5:$F$16,progress!D547+2,progress!C547)</f>
        <v>200</v>
      </c>
      <c r="I547" s="70" t="s">
        <v>3068</v>
      </c>
      <c r="J547" s="70">
        <v>2500</v>
      </c>
    </row>
    <row r="548" spans="1:10" x14ac:dyDescent="0.15">
      <c r="A548" s="53">
        <v>2106</v>
      </c>
      <c r="B548" s="79" t="s">
        <v>3044</v>
      </c>
      <c r="C548" s="35">
        <f>INDEX(monster!$D$2:$D$700,MATCH(progress!A548,monster!$A$2:$A$700,0))</f>
        <v>1</v>
      </c>
      <c r="D548" s="35">
        <f>INDEX(monster!$E$2:$E$700,MATCH(progress!A548,monster!$A$2:$A$700,0))</f>
        <v>7</v>
      </c>
      <c r="E548" s="70">
        <f>INDEX(产销规划表!$G$5:$K$16,progress!D548+2,progress!C548)</f>
        <v>40000</v>
      </c>
      <c r="F548" s="70">
        <v>2</v>
      </c>
      <c r="G548" s="79" t="s">
        <v>3059</v>
      </c>
      <c r="H548" s="70">
        <f>INDEX(产销规划表!$B$5:$F$16,progress!D548+2,progress!C548)</f>
        <v>350</v>
      </c>
      <c r="I548" s="70" t="s">
        <v>3068</v>
      </c>
      <c r="J548" s="70">
        <v>3750</v>
      </c>
    </row>
    <row r="549" spans="1:10" x14ac:dyDescent="0.15">
      <c r="A549" s="53">
        <v>2107</v>
      </c>
      <c r="B549" s="79" t="s">
        <v>3045</v>
      </c>
      <c r="C549" s="35">
        <f>INDEX(monster!$D$2:$D$700,MATCH(progress!A549,monster!$A$2:$A$700,0))</f>
        <v>1</v>
      </c>
      <c r="D549" s="35">
        <f>INDEX(monster!$E$2:$E$700,MATCH(progress!A549,monster!$A$2:$A$700,0))</f>
        <v>8</v>
      </c>
      <c r="E549" s="70">
        <f>INDEX(产销规划表!$G$5:$K$16,progress!D549+2,progress!C549)</f>
        <v>100000</v>
      </c>
      <c r="F549" s="70">
        <v>2</v>
      </c>
      <c r="G549" s="79" t="s">
        <v>3059</v>
      </c>
      <c r="H549" s="70">
        <f>INDEX(产销规划表!$B$5:$F$16,progress!D549+2,progress!C549)</f>
        <v>600</v>
      </c>
      <c r="I549" s="70" t="s">
        <v>3068</v>
      </c>
      <c r="J549" s="70">
        <v>5750</v>
      </c>
    </row>
    <row r="550" spans="1:10" x14ac:dyDescent="0.15">
      <c r="A550" s="53">
        <v>2108</v>
      </c>
      <c r="B550" s="79" t="s">
        <v>3046</v>
      </c>
      <c r="C550" s="35">
        <f>INDEX(monster!$D$2:$D$700,MATCH(progress!A550,monster!$A$2:$A$700,0))</f>
        <v>1</v>
      </c>
      <c r="D550" s="35">
        <f>INDEX(monster!$E$2:$E$700,MATCH(progress!A550,monster!$A$2:$A$700,0))</f>
        <v>9</v>
      </c>
      <c r="E550" s="70">
        <f>INDEX(产销规划表!$G$5:$K$16,progress!D550+2,progress!C550)</f>
        <v>200000</v>
      </c>
      <c r="F550" s="70">
        <v>2</v>
      </c>
      <c r="G550" s="79" t="s">
        <v>3059</v>
      </c>
      <c r="H550" s="70">
        <f>INDEX(产销规划表!$B$5:$F$16,progress!D550+2,progress!C550)</f>
        <v>1000</v>
      </c>
      <c r="I550" s="70" t="s">
        <v>3068</v>
      </c>
      <c r="J550" s="70">
        <v>9000</v>
      </c>
    </row>
    <row r="551" spans="1:10" x14ac:dyDescent="0.15">
      <c r="A551" s="53">
        <v>2109</v>
      </c>
      <c r="B551" s="79" t="s">
        <v>3047</v>
      </c>
      <c r="C551" s="35">
        <f>INDEX(monster!$D$2:$D$700,MATCH(progress!A551,monster!$A$2:$A$700,0))</f>
        <v>1</v>
      </c>
      <c r="D551" s="35">
        <f>INDEX(monster!$E$2:$E$700,MATCH(progress!A551,monster!$A$2:$A$700,0))</f>
        <v>10</v>
      </c>
      <c r="E551" s="70">
        <f>INDEX(产销规划表!$G$5:$K$16,progress!D551+2,progress!C551)</f>
        <v>-1</v>
      </c>
      <c r="F551" s="70">
        <v>2</v>
      </c>
      <c r="G551" s="79" t="s">
        <v>3059</v>
      </c>
      <c r="H551" s="70">
        <f>INDEX(产销规划表!$B$5:$F$16,progress!D551+2,progress!C551)</f>
        <v>-1</v>
      </c>
      <c r="I551" s="70" t="s">
        <v>3068</v>
      </c>
      <c r="J551" s="70">
        <v>-1</v>
      </c>
    </row>
    <row r="552" spans="1:10" x14ac:dyDescent="0.15">
      <c r="A552" s="53">
        <v>2110</v>
      </c>
      <c r="B552" s="79" t="s">
        <v>3048</v>
      </c>
      <c r="C552" s="35">
        <f>INDEX(monster!$D$2:$D$700,MATCH(progress!A552,monster!$A$2:$A$700,0))</f>
        <v>1</v>
      </c>
      <c r="D552" s="35">
        <f>INDEX(monster!$E$2:$E$700,MATCH(progress!A552,monster!$A$2:$A$700,0))</f>
        <v>0</v>
      </c>
      <c r="E552" s="70">
        <f>INDEX(产销规划表!$G$5:$K$16,progress!D552+2,progress!C552)</f>
        <v>100</v>
      </c>
      <c r="F552" s="70">
        <v>2</v>
      </c>
      <c r="G552" s="79" t="s">
        <v>3060</v>
      </c>
      <c r="H552" s="70">
        <f>INDEX(产销规划表!$B$5:$F$16,progress!D552+2,progress!C552)</f>
        <v>5</v>
      </c>
      <c r="I552" s="70" t="s">
        <v>3068</v>
      </c>
      <c r="J552" s="70">
        <v>125</v>
      </c>
    </row>
    <row r="553" spans="1:10" x14ac:dyDescent="0.15">
      <c r="A553" s="53">
        <v>2111</v>
      </c>
      <c r="B553" s="79" t="s">
        <v>3049</v>
      </c>
      <c r="C553" s="35">
        <f>INDEX(monster!$D$2:$D$700,MATCH(progress!A553,monster!$A$2:$A$700,0))</f>
        <v>1</v>
      </c>
      <c r="D553" s="35">
        <f>INDEX(monster!$E$2:$E$700,MATCH(progress!A553,monster!$A$2:$A$700,0))</f>
        <v>1</v>
      </c>
      <c r="E553" s="70">
        <f>INDEX(产销规划表!$G$5:$K$16,progress!D553+2,progress!C553)</f>
        <v>200</v>
      </c>
      <c r="F553" s="70">
        <v>2</v>
      </c>
      <c r="G553" s="79" t="s">
        <v>3060</v>
      </c>
      <c r="H553" s="70">
        <f>INDEX(产销规划表!$B$5:$F$16,progress!D553+2,progress!C553)</f>
        <v>10</v>
      </c>
      <c r="I553" s="70" t="s">
        <v>3068</v>
      </c>
      <c r="J553" s="70">
        <v>250</v>
      </c>
    </row>
    <row r="554" spans="1:10" x14ac:dyDescent="0.15">
      <c r="A554" s="53">
        <v>2112</v>
      </c>
      <c r="B554" s="79" t="s">
        <v>3050</v>
      </c>
      <c r="C554" s="35">
        <f>INDEX(monster!$D$2:$D$700,MATCH(progress!A554,monster!$A$2:$A$700,0))</f>
        <v>1</v>
      </c>
      <c r="D554" s="35">
        <f>INDEX(monster!$E$2:$E$700,MATCH(progress!A554,monster!$A$2:$A$700,0))</f>
        <v>2</v>
      </c>
      <c r="E554" s="70">
        <f>INDEX(产销规划表!$G$5:$K$16,progress!D554+2,progress!C554)</f>
        <v>500</v>
      </c>
      <c r="F554" s="70">
        <v>2</v>
      </c>
      <c r="G554" s="79" t="s">
        <v>3060</v>
      </c>
      <c r="H554" s="70">
        <f>INDEX(产销规划表!$B$5:$F$16,progress!D554+2,progress!C554)</f>
        <v>20</v>
      </c>
      <c r="I554" s="70" t="s">
        <v>3068</v>
      </c>
      <c r="J554" s="70">
        <v>375</v>
      </c>
    </row>
    <row r="555" spans="1:10" x14ac:dyDescent="0.15">
      <c r="A555" s="53">
        <v>2113</v>
      </c>
      <c r="B555" s="79" t="s">
        <v>3051</v>
      </c>
      <c r="C555" s="35">
        <f>INDEX(monster!$D$2:$D$700,MATCH(progress!A555,monster!$A$2:$A$700,0))</f>
        <v>1</v>
      </c>
      <c r="D555" s="35">
        <f>INDEX(monster!$E$2:$E$700,MATCH(progress!A555,monster!$A$2:$A$700,0))</f>
        <v>3</v>
      </c>
      <c r="E555" s="70">
        <f>INDEX(产销规划表!$G$5:$K$16,progress!D555+2,progress!C555)</f>
        <v>1500</v>
      </c>
      <c r="F555" s="70">
        <v>2</v>
      </c>
      <c r="G555" s="79" t="s">
        <v>3060</v>
      </c>
      <c r="H555" s="70">
        <f>INDEX(产销规划表!$B$5:$F$16,progress!D555+2,progress!C555)</f>
        <v>50</v>
      </c>
      <c r="I555" s="70" t="s">
        <v>3068</v>
      </c>
      <c r="J555" s="70">
        <v>625</v>
      </c>
    </row>
    <row r="556" spans="1:10" x14ac:dyDescent="0.15">
      <c r="A556" s="53">
        <v>2114</v>
      </c>
      <c r="B556" s="79" t="s">
        <v>3052</v>
      </c>
      <c r="C556" s="35">
        <f>INDEX(monster!$D$2:$D$700,MATCH(progress!A556,monster!$A$2:$A$700,0))</f>
        <v>1</v>
      </c>
      <c r="D556" s="35">
        <f>INDEX(monster!$E$2:$E$700,MATCH(progress!A556,monster!$A$2:$A$700,0))</f>
        <v>4</v>
      </c>
      <c r="E556" s="70">
        <f>INDEX(产销规划表!$G$5:$K$16,progress!D556+2,progress!C556)</f>
        <v>4000</v>
      </c>
      <c r="F556" s="70">
        <v>2</v>
      </c>
      <c r="G556" s="79" t="s">
        <v>3060</v>
      </c>
      <c r="H556" s="70">
        <f>INDEX(产销规划表!$B$5:$F$16,progress!D556+2,progress!C556)</f>
        <v>80</v>
      </c>
      <c r="I556" s="70" t="s">
        <v>3068</v>
      </c>
      <c r="J556" s="70">
        <v>1000</v>
      </c>
    </row>
    <row r="557" spans="1:10" x14ac:dyDescent="0.15">
      <c r="A557" s="53">
        <v>2115</v>
      </c>
      <c r="B557" s="79" t="s">
        <v>3053</v>
      </c>
      <c r="C557" s="35">
        <f>INDEX(monster!$D$2:$D$700,MATCH(progress!A557,monster!$A$2:$A$700,0))</f>
        <v>1</v>
      </c>
      <c r="D557" s="35">
        <f>INDEX(monster!$E$2:$E$700,MATCH(progress!A557,monster!$A$2:$A$700,0))</f>
        <v>5</v>
      </c>
      <c r="E557" s="70">
        <f>INDEX(产销规划表!$G$5:$K$16,progress!D557+2,progress!C557)</f>
        <v>10000</v>
      </c>
      <c r="F557" s="70">
        <v>2</v>
      </c>
      <c r="G557" s="79" t="s">
        <v>3060</v>
      </c>
      <c r="H557" s="70">
        <f>INDEX(产销规划表!$B$5:$F$16,progress!D557+2,progress!C557)</f>
        <v>120</v>
      </c>
      <c r="I557" s="70" t="s">
        <v>3068</v>
      </c>
      <c r="J557" s="70">
        <v>1625</v>
      </c>
    </row>
    <row r="558" spans="1:10" x14ac:dyDescent="0.15">
      <c r="A558" s="53">
        <v>2116</v>
      </c>
      <c r="B558" s="79" t="s">
        <v>3054</v>
      </c>
      <c r="C558" s="35">
        <f>INDEX(monster!$D$2:$D$700,MATCH(progress!A558,monster!$A$2:$A$700,0))</f>
        <v>1</v>
      </c>
      <c r="D558" s="35">
        <f>INDEX(monster!$E$2:$E$700,MATCH(progress!A558,monster!$A$2:$A$700,0))</f>
        <v>6</v>
      </c>
      <c r="E558" s="70">
        <f>INDEX(产销规划表!$G$5:$K$16,progress!D558+2,progress!C558)</f>
        <v>20000</v>
      </c>
      <c r="F558" s="70">
        <v>2</v>
      </c>
      <c r="G558" s="79" t="s">
        <v>3060</v>
      </c>
      <c r="H558" s="70">
        <f>INDEX(产销规划表!$B$5:$F$16,progress!D558+2,progress!C558)</f>
        <v>200</v>
      </c>
      <c r="I558" s="70" t="s">
        <v>3068</v>
      </c>
      <c r="J558" s="70">
        <v>2500</v>
      </c>
    </row>
    <row r="559" spans="1:10" x14ac:dyDescent="0.15">
      <c r="A559" s="53">
        <v>2117</v>
      </c>
      <c r="B559" s="79" t="s">
        <v>3055</v>
      </c>
      <c r="C559" s="35">
        <f>INDEX(monster!$D$2:$D$700,MATCH(progress!A559,monster!$A$2:$A$700,0))</f>
        <v>1</v>
      </c>
      <c r="D559" s="35">
        <f>INDEX(monster!$E$2:$E$700,MATCH(progress!A559,monster!$A$2:$A$700,0))</f>
        <v>7</v>
      </c>
      <c r="E559" s="70">
        <f>INDEX(产销规划表!$G$5:$K$16,progress!D559+2,progress!C559)</f>
        <v>40000</v>
      </c>
      <c r="F559" s="70">
        <v>2</v>
      </c>
      <c r="G559" s="79" t="s">
        <v>3060</v>
      </c>
      <c r="H559" s="70">
        <f>INDEX(产销规划表!$B$5:$F$16,progress!D559+2,progress!C559)</f>
        <v>350</v>
      </c>
      <c r="I559" s="70" t="s">
        <v>3068</v>
      </c>
      <c r="J559" s="70">
        <v>3750</v>
      </c>
    </row>
    <row r="560" spans="1:10" x14ac:dyDescent="0.15">
      <c r="A560" s="53">
        <v>2118</v>
      </c>
      <c r="B560" s="79" t="s">
        <v>3056</v>
      </c>
      <c r="C560" s="35">
        <f>INDEX(monster!$D$2:$D$700,MATCH(progress!A560,monster!$A$2:$A$700,0))</f>
        <v>1</v>
      </c>
      <c r="D560" s="35">
        <f>INDEX(monster!$E$2:$E$700,MATCH(progress!A560,monster!$A$2:$A$700,0))</f>
        <v>8</v>
      </c>
      <c r="E560" s="70">
        <f>INDEX(产销规划表!$G$5:$K$16,progress!D560+2,progress!C560)</f>
        <v>100000</v>
      </c>
      <c r="F560" s="70">
        <v>2</v>
      </c>
      <c r="G560" s="79" t="s">
        <v>3060</v>
      </c>
      <c r="H560" s="70">
        <f>INDEX(产销规划表!$B$5:$F$16,progress!D560+2,progress!C560)</f>
        <v>600</v>
      </c>
      <c r="I560" s="70" t="s">
        <v>3068</v>
      </c>
      <c r="J560" s="70">
        <v>5750</v>
      </c>
    </row>
    <row r="561" spans="1:10" x14ac:dyDescent="0.15">
      <c r="A561" s="53">
        <v>2119</v>
      </c>
      <c r="B561" s="79" t="s">
        <v>3057</v>
      </c>
      <c r="C561" s="35">
        <f>INDEX(monster!$D$2:$D$700,MATCH(progress!A561,monster!$A$2:$A$700,0))</f>
        <v>1</v>
      </c>
      <c r="D561" s="35">
        <f>INDEX(monster!$E$2:$E$700,MATCH(progress!A561,monster!$A$2:$A$700,0))</f>
        <v>9</v>
      </c>
      <c r="E561" s="70">
        <f>INDEX(产销规划表!$G$5:$K$16,progress!D561+2,progress!C561)</f>
        <v>200000</v>
      </c>
      <c r="F561" s="70">
        <v>2</v>
      </c>
      <c r="G561" s="79" t="s">
        <v>3060</v>
      </c>
      <c r="H561" s="70">
        <f>INDEX(产销规划表!$B$5:$F$16,progress!D561+2,progress!C561)</f>
        <v>1000</v>
      </c>
      <c r="I561" s="70" t="s">
        <v>3068</v>
      </c>
      <c r="J561" s="70">
        <v>9000</v>
      </c>
    </row>
    <row r="562" spans="1:10" x14ac:dyDescent="0.15">
      <c r="A562" s="53">
        <v>2120</v>
      </c>
      <c r="B562" s="79" t="s">
        <v>3058</v>
      </c>
      <c r="C562" s="35">
        <f>INDEX(monster!$D$2:$D$700,MATCH(progress!A562,monster!$A$2:$A$700,0))</f>
        <v>1</v>
      </c>
      <c r="D562" s="35">
        <f>INDEX(monster!$E$2:$E$700,MATCH(progress!A562,monster!$A$2:$A$700,0))</f>
        <v>10</v>
      </c>
      <c r="E562" s="70">
        <f>INDEX(产销规划表!$G$5:$K$16,progress!D562+2,progress!C562)</f>
        <v>-1</v>
      </c>
      <c r="F562" s="70">
        <v>2</v>
      </c>
      <c r="G562" s="79" t="s">
        <v>3060</v>
      </c>
      <c r="H562" s="70">
        <f>INDEX(产销规划表!$B$5:$F$16,progress!D562+2,progress!C562)</f>
        <v>-1</v>
      </c>
      <c r="I562" s="70" t="s">
        <v>3068</v>
      </c>
      <c r="J562" s="70">
        <v>-1</v>
      </c>
    </row>
  </sheetData>
  <phoneticPr fontId="5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52"/>
  <sheetViews>
    <sheetView workbookViewId="0">
      <selection activeCell="D12" sqref="D12"/>
    </sheetView>
  </sheetViews>
  <sheetFormatPr defaultRowHeight="13.5" x14ac:dyDescent="0.15"/>
  <cols>
    <col min="2" max="2" width="11.25" customWidth="1"/>
    <col min="3" max="3" width="11.75" customWidth="1"/>
    <col min="4" max="4" width="12.5" customWidth="1"/>
    <col min="5" max="5" width="13.875" customWidth="1"/>
    <col min="7" max="7" width="14.5" customWidth="1"/>
    <col min="9" max="9" width="18" style="54" customWidth="1"/>
    <col min="10" max="10" width="13.5" style="70" customWidth="1"/>
    <col min="11" max="11" width="25.625" style="60" customWidth="1"/>
    <col min="12" max="14" width="35.625" customWidth="1"/>
    <col min="15" max="15" width="35.625" style="59" customWidth="1"/>
    <col min="16" max="16" width="35.625" customWidth="1"/>
    <col min="19" max="19" width="14.5" customWidth="1"/>
    <col min="20" max="20" width="12.125" customWidth="1"/>
    <col min="21" max="21" width="10.875" customWidth="1"/>
  </cols>
  <sheetData>
    <row r="1" spans="1:32" x14ac:dyDescent="0.15">
      <c r="F1" s="54"/>
      <c r="G1" s="54"/>
      <c r="H1" s="54"/>
      <c r="I1" s="54" t="s">
        <v>1943</v>
      </c>
      <c r="J1" s="70" t="s">
        <v>2331</v>
      </c>
      <c r="K1" s="8" t="s">
        <v>2049</v>
      </c>
      <c r="L1" s="54" t="s">
        <v>2274</v>
      </c>
      <c r="M1" s="54" t="s">
        <v>2275</v>
      </c>
      <c r="N1" s="54" t="s">
        <v>2276</v>
      </c>
      <c r="O1" s="59" t="s">
        <v>2277</v>
      </c>
      <c r="P1" t="s">
        <v>1988</v>
      </c>
      <c r="S1" t="s">
        <v>2227</v>
      </c>
      <c r="T1" t="s">
        <v>2228</v>
      </c>
      <c r="U1" t="s">
        <v>2229</v>
      </c>
    </row>
    <row r="2" spans="1:32" ht="19.5" customHeight="1" x14ac:dyDescent="0.15">
      <c r="B2" t="s">
        <v>1924</v>
      </c>
      <c r="C2" t="s">
        <v>1925</v>
      </c>
      <c r="D2" t="s">
        <v>2168</v>
      </c>
      <c r="E2" t="s">
        <v>1926</v>
      </c>
      <c r="F2" s="54" t="s">
        <v>2170</v>
      </c>
      <c r="G2" s="54"/>
      <c r="H2" s="61" t="s">
        <v>43</v>
      </c>
      <c r="I2" s="8" t="s">
        <v>1928</v>
      </c>
      <c r="J2" s="8" t="s">
        <v>2332</v>
      </c>
      <c r="K2" s="8" t="s">
        <v>2050</v>
      </c>
      <c r="L2" s="56" t="s">
        <v>2278</v>
      </c>
      <c r="M2" s="67" t="s">
        <v>2055</v>
      </c>
      <c r="N2" s="65" t="s">
        <v>1945</v>
      </c>
      <c r="O2" s="56" t="s">
        <v>2280</v>
      </c>
      <c r="P2" s="57" t="s">
        <v>1989</v>
      </c>
      <c r="S2" s="58" t="s">
        <v>2253</v>
      </c>
      <c r="T2" t="s">
        <v>2230</v>
      </c>
      <c r="U2" s="58" t="s">
        <v>2248</v>
      </c>
    </row>
    <row r="3" spans="1:32" ht="23.25" customHeight="1" x14ac:dyDescent="0.15">
      <c r="A3" t="s">
        <v>1938</v>
      </c>
      <c r="B3" s="54" t="s">
        <v>1935</v>
      </c>
      <c r="C3" s="54" t="s">
        <v>1935</v>
      </c>
      <c r="D3" s="54" t="s">
        <v>1935</v>
      </c>
      <c r="E3" s="54" t="s">
        <v>1935</v>
      </c>
      <c r="F3" s="54">
        <v>10</v>
      </c>
      <c r="G3" s="54"/>
      <c r="H3" s="61" t="s">
        <v>2044</v>
      </c>
      <c r="I3" s="8" t="s">
        <v>1944</v>
      </c>
      <c r="J3" s="8" t="s">
        <v>2333</v>
      </c>
      <c r="K3" s="8" t="s">
        <v>2050</v>
      </c>
      <c r="L3" s="56" t="s">
        <v>2273</v>
      </c>
      <c r="M3" s="56" t="s">
        <v>2279</v>
      </c>
      <c r="N3" s="56" t="s">
        <v>2066</v>
      </c>
      <c r="O3" s="56" t="s">
        <v>2048</v>
      </c>
      <c r="P3" s="57" t="s">
        <v>1990</v>
      </c>
      <c r="S3" s="58" t="s">
        <v>2254</v>
      </c>
      <c r="T3" s="58" t="s">
        <v>2232</v>
      </c>
      <c r="U3" t="s">
        <v>2237</v>
      </c>
    </row>
    <row r="4" spans="1:32" ht="27" x14ac:dyDescent="0.15">
      <c r="A4" t="s">
        <v>1927</v>
      </c>
      <c r="B4" t="s">
        <v>1971</v>
      </c>
      <c r="C4" s="54" t="s">
        <v>1937</v>
      </c>
      <c r="D4" s="54" t="s">
        <v>1939</v>
      </c>
      <c r="E4" s="54" t="s">
        <v>1937</v>
      </c>
      <c r="F4">
        <v>7</v>
      </c>
      <c r="H4" s="61" t="s">
        <v>1313</v>
      </c>
      <c r="I4" s="8" t="s">
        <v>1947</v>
      </c>
      <c r="J4" s="8" t="s">
        <v>2333</v>
      </c>
      <c r="K4" s="8" t="s">
        <v>2281</v>
      </c>
      <c r="L4" s="56" t="s">
        <v>2283</v>
      </c>
      <c r="M4" s="55"/>
      <c r="N4" s="55"/>
      <c r="O4" s="55"/>
      <c r="P4" s="57" t="s">
        <v>2282</v>
      </c>
      <c r="S4" s="58" t="s">
        <v>2255</v>
      </c>
      <c r="T4" s="64" t="s">
        <v>2234</v>
      </c>
      <c r="U4" t="s">
        <v>2238</v>
      </c>
    </row>
    <row r="5" spans="1:32" ht="27" x14ac:dyDescent="0.15">
      <c r="A5" t="s">
        <v>1929</v>
      </c>
      <c r="B5" t="s">
        <v>1940</v>
      </c>
      <c r="C5" s="54" t="s">
        <v>1940</v>
      </c>
      <c r="D5" t="s">
        <v>1942</v>
      </c>
      <c r="E5" s="54" t="s">
        <v>1942</v>
      </c>
      <c r="F5">
        <v>10</v>
      </c>
      <c r="H5" s="61" t="s">
        <v>56</v>
      </c>
      <c r="I5" s="8" t="s">
        <v>1947</v>
      </c>
      <c r="J5" s="8" t="s">
        <v>2334</v>
      </c>
      <c r="K5" s="8" t="s">
        <v>2050</v>
      </c>
      <c r="L5" s="65" t="s">
        <v>1949</v>
      </c>
      <c r="M5" s="56" t="s">
        <v>2067</v>
      </c>
      <c r="N5" s="67" t="s">
        <v>2068</v>
      </c>
      <c r="O5" s="56" t="s">
        <v>2069</v>
      </c>
      <c r="P5" s="58" t="s">
        <v>1998</v>
      </c>
      <c r="S5" s="58" t="s">
        <v>2257</v>
      </c>
      <c r="T5" s="58" t="s">
        <v>2235</v>
      </c>
      <c r="U5" t="s">
        <v>2240</v>
      </c>
    </row>
    <row r="6" spans="1:32" ht="30" customHeight="1" x14ac:dyDescent="0.15">
      <c r="A6" t="s">
        <v>1931</v>
      </c>
      <c r="F6">
        <v>7</v>
      </c>
      <c r="H6" s="63" t="s">
        <v>45</v>
      </c>
      <c r="I6" s="8" t="s">
        <v>1948</v>
      </c>
      <c r="J6" s="8" t="s">
        <v>2332</v>
      </c>
      <c r="K6" s="8" t="s">
        <v>2050</v>
      </c>
      <c r="L6" s="56" t="s">
        <v>2070</v>
      </c>
      <c r="M6" s="55" t="s">
        <v>1950</v>
      </c>
      <c r="N6" s="56" t="s">
        <v>2071</v>
      </c>
      <c r="O6" s="56" t="s">
        <v>2072</v>
      </c>
      <c r="P6" s="58" t="s">
        <v>1991</v>
      </c>
      <c r="S6" s="58" t="s">
        <v>2258</v>
      </c>
      <c r="T6" s="58" t="s">
        <v>2239</v>
      </c>
      <c r="U6" s="58" t="s">
        <v>2241</v>
      </c>
    </row>
    <row r="7" spans="1:32" ht="28.5" customHeight="1" x14ac:dyDescent="0.15">
      <c r="A7" t="s">
        <v>1932</v>
      </c>
      <c r="B7" t="s">
        <v>1941</v>
      </c>
      <c r="C7" s="54" t="s">
        <v>1941</v>
      </c>
      <c r="D7" s="54" t="s">
        <v>1941</v>
      </c>
      <c r="E7" s="54" t="s">
        <v>1941</v>
      </c>
      <c r="F7">
        <v>5</v>
      </c>
      <c r="H7" s="62" t="s">
        <v>19</v>
      </c>
      <c r="I7" s="8" t="s">
        <v>1930</v>
      </c>
      <c r="J7" s="8" t="s">
        <v>2333</v>
      </c>
      <c r="K7" s="8" t="s">
        <v>2051</v>
      </c>
      <c r="L7" s="55" t="s">
        <v>1951</v>
      </c>
      <c r="M7" s="56" t="s">
        <v>2075</v>
      </c>
      <c r="N7" s="56" t="s">
        <v>2074</v>
      </c>
      <c r="O7" s="67" t="s">
        <v>2073</v>
      </c>
      <c r="P7" s="58" t="s">
        <v>1992</v>
      </c>
      <c r="S7" s="58" t="s">
        <v>2260</v>
      </c>
      <c r="T7" s="58" t="s">
        <v>2236</v>
      </c>
      <c r="U7" s="58" t="s">
        <v>2243</v>
      </c>
    </row>
    <row r="8" spans="1:32" ht="40.5" x14ac:dyDescent="0.15">
      <c r="A8" t="s">
        <v>1934</v>
      </c>
      <c r="B8" t="s">
        <v>1936</v>
      </c>
      <c r="C8" s="54" t="s">
        <v>1936</v>
      </c>
      <c r="D8" s="54" t="s">
        <v>1936</v>
      </c>
      <c r="E8" s="54" t="s">
        <v>1936</v>
      </c>
      <c r="F8">
        <v>7</v>
      </c>
      <c r="H8" s="61" t="s">
        <v>24</v>
      </c>
      <c r="I8" s="8" t="s">
        <v>1933</v>
      </c>
      <c r="J8" s="8" t="s">
        <v>2333</v>
      </c>
      <c r="K8" s="8" t="s">
        <v>2083</v>
      </c>
      <c r="L8" s="56" t="s">
        <v>2082</v>
      </c>
      <c r="M8" s="67" t="s">
        <v>2084</v>
      </c>
      <c r="N8" s="56" t="s">
        <v>2089</v>
      </c>
      <c r="O8" s="56" t="s">
        <v>2085</v>
      </c>
      <c r="P8" s="58" t="s">
        <v>2174</v>
      </c>
      <c r="S8" s="58" t="s">
        <v>2261</v>
      </c>
      <c r="T8" s="58" t="s">
        <v>2242</v>
      </c>
      <c r="U8" t="s">
        <v>2244</v>
      </c>
    </row>
    <row r="9" spans="1:32" ht="27" x14ac:dyDescent="0.15">
      <c r="H9" s="63" t="s">
        <v>2045</v>
      </c>
      <c r="I9" s="8" t="s">
        <v>1928</v>
      </c>
      <c r="J9" s="8" t="s">
        <v>2332</v>
      </c>
      <c r="K9" s="8" t="s">
        <v>2284</v>
      </c>
      <c r="L9" s="56" t="s">
        <v>2076</v>
      </c>
      <c r="M9" s="56" t="s">
        <v>2077</v>
      </c>
      <c r="N9" s="56" t="s">
        <v>2120</v>
      </c>
      <c r="O9" s="56" t="s">
        <v>2086</v>
      </c>
      <c r="P9" s="58" t="s">
        <v>2175</v>
      </c>
      <c r="S9" s="58" t="s">
        <v>2262</v>
      </c>
      <c r="T9" s="58" t="s">
        <v>2181</v>
      </c>
      <c r="U9" t="s">
        <v>2245</v>
      </c>
    </row>
    <row r="10" spans="1:32" ht="27" x14ac:dyDescent="0.15">
      <c r="H10" s="62" t="s">
        <v>2046</v>
      </c>
      <c r="I10" s="8" t="s">
        <v>1928</v>
      </c>
      <c r="J10" s="8" t="s">
        <v>2333</v>
      </c>
      <c r="K10" s="67" t="s">
        <v>2087</v>
      </c>
      <c r="L10" s="56" t="s">
        <v>2088</v>
      </c>
      <c r="M10" s="56" t="s">
        <v>2078</v>
      </c>
      <c r="N10" s="67" t="s">
        <v>2079</v>
      </c>
      <c r="O10" s="56" t="s">
        <v>2213</v>
      </c>
      <c r="P10" s="58" t="s">
        <v>1993</v>
      </c>
      <c r="S10" s="58" t="s">
        <v>2263</v>
      </c>
      <c r="T10" s="58" t="s">
        <v>2251</v>
      </c>
      <c r="U10" t="s">
        <v>2246</v>
      </c>
      <c r="AF10">
        <v>0.4</v>
      </c>
    </row>
    <row r="11" spans="1:32" ht="27" x14ac:dyDescent="0.15">
      <c r="H11" s="62" t="s">
        <v>20</v>
      </c>
      <c r="I11" s="8" t="s">
        <v>1933</v>
      </c>
      <c r="J11" s="8" t="s">
        <v>2335</v>
      </c>
      <c r="K11" s="8" t="s">
        <v>2050</v>
      </c>
      <c r="L11" s="56" t="s">
        <v>2256</v>
      </c>
      <c r="M11" s="56" t="s">
        <v>2221</v>
      </c>
      <c r="N11" s="56" t="s">
        <v>2090</v>
      </c>
      <c r="O11" s="56" t="s">
        <v>2027</v>
      </c>
      <c r="P11" s="58" t="s">
        <v>1994</v>
      </c>
      <c r="S11" s="58" t="s">
        <v>2264</v>
      </c>
      <c r="T11" s="58" t="s">
        <v>2233</v>
      </c>
      <c r="U11" t="s">
        <v>2183</v>
      </c>
    </row>
    <row r="12" spans="1:32" ht="27" x14ac:dyDescent="0.15">
      <c r="H12" s="63" t="s">
        <v>1348</v>
      </c>
      <c r="I12" s="8" t="s">
        <v>1952</v>
      </c>
      <c r="J12" s="8" t="s">
        <v>2333</v>
      </c>
      <c r="K12" s="8" t="s">
        <v>2052</v>
      </c>
      <c r="L12" s="56" t="s">
        <v>2053</v>
      </c>
      <c r="M12" s="56" t="s">
        <v>2062</v>
      </c>
      <c r="N12" s="56" t="s">
        <v>2054</v>
      </c>
      <c r="O12" s="56" t="s">
        <v>2047</v>
      </c>
      <c r="P12" s="58" t="s">
        <v>1995</v>
      </c>
      <c r="S12" s="58" t="s">
        <v>2266</v>
      </c>
      <c r="T12" s="58" t="s">
        <v>2231</v>
      </c>
      <c r="U12" t="s">
        <v>2206</v>
      </c>
    </row>
    <row r="13" spans="1:32" ht="27" x14ac:dyDescent="0.15">
      <c r="H13" s="63" t="s">
        <v>1349</v>
      </c>
      <c r="I13" s="8" t="s">
        <v>1954</v>
      </c>
      <c r="J13" s="8" t="s">
        <v>2333</v>
      </c>
      <c r="K13" s="8" t="s">
        <v>2056</v>
      </c>
      <c r="L13" s="56" t="s">
        <v>2061</v>
      </c>
      <c r="M13" s="56" t="s">
        <v>2063</v>
      </c>
      <c r="N13" s="55" t="s">
        <v>1955</v>
      </c>
      <c r="O13" s="67" t="s">
        <v>2064</v>
      </c>
      <c r="P13" s="58" t="s">
        <v>1996</v>
      </c>
      <c r="S13" s="58" t="s">
        <v>2267</v>
      </c>
    </row>
    <row r="14" spans="1:32" ht="30" customHeight="1" x14ac:dyDescent="0.15">
      <c r="H14" s="63" t="s">
        <v>1320</v>
      </c>
      <c r="I14" s="8" t="s">
        <v>1956</v>
      </c>
      <c r="J14" s="8" t="s">
        <v>2332</v>
      </c>
      <c r="K14" s="8" t="s">
        <v>2057</v>
      </c>
      <c r="L14" s="56" t="s">
        <v>2271</v>
      </c>
      <c r="M14" s="56" t="s">
        <v>2060</v>
      </c>
      <c r="N14" s="56" t="s">
        <v>2059</v>
      </c>
      <c r="O14" s="56" t="s">
        <v>2058</v>
      </c>
      <c r="P14" s="58" t="s">
        <v>2176</v>
      </c>
      <c r="S14" s="58" t="s">
        <v>2268</v>
      </c>
    </row>
    <row r="15" spans="1:32" ht="27" x14ac:dyDescent="0.15">
      <c r="H15" s="61" t="s">
        <v>15</v>
      </c>
      <c r="I15" s="8" t="s">
        <v>1930</v>
      </c>
      <c r="J15" s="8" t="s">
        <v>2334</v>
      </c>
      <c r="K15" s="8"/>
      <c r="L15" s="56" t="s">
        <v>2080</v>
      </c>
      <c r="M15" s="67" t="s">
        <v>2081</v>
      </c>
      <c r="N15" s="67" t="s">
        <v>2091</v>
      </c>
      <c r="O15" s="56" t="s">
        <v>2028</v>
      </c>
      <c r="P15" s="58" t="s">
        <v>1997</v>
      </c>
      <c r="S15" s="58" t="s">
        <v>2269</v>
      </c>
    </row>
    <row r="16" spans="1:32" ht="27.75" customHeight="1" x14ac:dyDescent="0.15">
      <c r="H16" s="8" t="s">
        <v>1312</v>
      </c>
      <c r="I16" s="8" t="s">
        <v>1930</v>
      </c>
      <c r="J16" s="8" t="s">
        <v>2333</v>
      </c>
      <c r="K16" s="8" t="s">
        <v>2092</v>
      </c>
      <c r="L16" s="56" t="s">
        <v>2093</v>
      </c>
      <c r="M16" s="56" t="s">
        <v>2029</v>
      </c>
      <c r="N16" s="56" t="s">
        <v>2094</v>
      </c>
      <c r="O16" s="56" t="s">
        <v>2177</v>
      </c>
      <c r="P16" s="58" t="s">
        <v>1999</v>
      </c>
      <c r="S16" t="s">
        <v>2270</v>
      </c>
    </row>
    <row r="17" spans="8:19" ht="27" x14ac:dyDescent="0.15">
      <c r="H17" s="8" t="s">
        <v>25</v>
      </c>
      <c r="I17" s="8" t="s">
        <v>1953</v>
      </c>
      <c r="J17" s="8" t="s">
        <v>2337</v>
      </c>
      <c r="K17" s="8"/>
      <c r="L17" s="56" t="s">
        <v>2095</v>
      </c>
      <c r="M17" s="55" t="s">
        <v>1958</v>
      </c>
      <c r="N17" s="65" t="s">
        <v>1957</v>
      </c>
      <c r="O17" s="56" t="s">
        <v>2096</v>
      </c>
      <c r="P17" s="58" t="s">
        <v>2000</v>
      </c>
      <c r="S17" s="58" t="s">
        <v>2247</v>
      </c>
    </row>
    <row r="18" spans="8:19" ht="27" customHeight="1" x14ac:dyDescent="0.15">
      <c r="H18" s="8" t="s">
        <v>40</v>
      </c>
      <c r="I18" s="8" t="s">
        <v>2098</v>
      </c>
      <c r="J18" s="8" t="s">
        <v>2335</v>
      </c>
      <c r="K18" s="8"/>
      <c r="L18" s="56" t="s">
        <v>2100</v>
      </c>
      <c r="M18" s="56" t="s">
        <v>2101</v>
      </c>
      <c r="N18" s="56" t="s">
        <v>2097</v>
      </c>
      <c r="O18" s="56" t="s">
        <v>2099</v>
      </c>
      <c r="P18" s="58" t="s">
        <v>2001</v>
      </c>
    </row>
    <row r="19" spans="8:19" ht="27" x14ac:dyDescent="0.15">
      <c r="H19" s="8" t="s">
        <v>38</v>
      </c>
      <c r="I19" s="8" t="s">
        <v>1928</v>
      </c>
      <c r="J19" s="8" t="s">
        <v>2332</v>
      </c>
      <c r="K19" s="8"/>
      <c r="L19" s="55" t="s">
        <v>1960</v>
      </c>
      <c r="M19" s="56" t="s">
        <v>2179</v>
      </c>
      <c r="N19" s="67" t="s">
        <v>2178</v>
      </c>
      <c r="O19" s="66" t="s">
        <v>2102</v>
      </c>
      <c r="P19" s="58" t="s">
        <v>2002</v>
      </c>
    </row>
    <row r="20" spans="8:19" ht="28.5" customHeight="1" x14ac:dyDescent="0.15">
      <c r="H20" s="8" t="s">
        <v>16</v>
      </c>
      <c r="I20" s="8" t="s">
        <v>1933</v>
      </c>
      <c r="J20" s="8" t="s">
        <v>2334</v>
      </c>
      <c r="K20" s="8"/>
      <c r="L20" s="55" t="s">
        <v>1961</v>
      </c>
      <c r="M20" s="56" t="s">
        <v>2103</v>
      </c>
      <c r="N20" s="56" t="s">
        <v>1946</v>
      </c>
      <c r="O20" s="56" t="s">
        <v>2043</v>
      </c>
      <c r="P20" s="58" t="s">
        <v>2003</v>
      </c>
    </row>
    <row r="21" spans="8:19" ht="27" x14ac:dyDescent="0.15">
      <c r="H21" s="8" t="s">
        <v>61</v>
      </c>
      <c r="I21" s="8" t="s">
        <v>1953</v>
      </c>
      <c r="J21" s="8" t="s">
        <v>2337</v>
      </c>
      <c r="K21" s="8" t="s">
        <v>2167</v>
      </c>
      <c r="L21" s="56" t="s">
        <v>2030</v>
      </c>
      <c r="M21" s="55" t="s">
        <v>1963</v>
      </c>
      <c r="N21" s="65" t="s">
        <v>1962</v>
      </c>
      <c r="O21" s="56" t="s">
        <v>2104</v>
      </c>
      <c r="P21" s="58" t="s">
        <v>2004</v>
      </c>
    </row>
    <row r="22" spans="8:19" ht="27" x14ac:dyDescent="0.15">
      <c r="H22" s="8" t="s">
        <v>1965</v>
      </c>
      <c r="I22" s="8" t="s">
        <v>1964</v>
      </c>
      <c r="J22" s="8" t="s">
        <v>2337</v>
      </c>
      <c r="K22" s="8" t="s">
        <v>2105</v>
      </c>
      <c r="L22" s="56" t="s">
        <v>2164</v>
      </c>
      <c r="M22" s="56" t="s">
        <v>2106</v>
      </c>
      <c r="N22" s="56" t="s">
        <v>2107</v>
      </c>
      <c r="O22" s="56" t="s">
        <v>2031</v>
      </c>
      <c r="P22" s="58" t="s">
        <v>2005</v>
      </c>
    </row>
    <row r="23" spans="8:19" ht="29.25" customHeight="1" x14ac:dyDescent="0.15">
      <c r="H23" s="8" t="s">
        <v>41</v>
      </c>
      <c r="I23" s="8" t="s">
        <v>2259</v>
      </c>
      <c r="J23" s="8" t="s">
        <v>2333</v>
      </c>
      <c r="K23" s="8"/>
      <c r="L23" s="55" t="s">
        <v>1966</v>
      </c>
      <c r="M23" s="56" t="s">
        <v>2108</v>
      </c>
      <c r="N23" s="56" t="s">
        <v>2109</v>
      </c>
      <c r="O23" s="56" t="s">
        <v>2032</v>
      </c>
      <c r="P23" s="58" t="s">
        <v>2006</v>
      </c>
    </row>
    <row r="24" spans="8:19" ht="31.5" customHeight="1" x14ac:dyDescent="0.15">
      <c r="H24" s="8" t="s">
        <v>37</v>
      </c>
      <c r="I24" s="8" t="s">
        <v>1930</v>
      </c>
      <c r="J24" s="8" t="s">
        <v>2337</v>
      </c>
      <c r="K24" s="8" t="s">
        <v>2110</v>
      </c>
      <c r="L24" s="56" t="s">
        <v>2111</v>
      </c>
      <c r="M24" s="67" t="s">
        <v>2198</v>
      </c>
      <c r="N24" s="56" t="s">
        <v>2200</v>
      </c>
      <c r="O24" s="56" t="s">
        <v>2199</v>
      </c>
      <c r="P24" s="58" t="s">
        <v>2007</v>
      </c>
    </row>
    <row r="25" spans="8:19" ht="27" x14ac:dyDescent="0.15">
      <c r="H25" s="8" t="s">
        <v>39</v>
      </c>
      <c r="I25" s="8" t="s">
        <v>1968</v>
      </c>
      <c r="J25" s="8" t="s">
        <v>2337</v>
      </c>
      <c r="K25" s="8"/>
      <c r="L25" s="55" t="s">
        <v>1967</v>
      </c>
      <c r="M25" s="56" t="s">
        <v>2112</v>
      </c>
      <c r="N25" s="55" t="s">
        <v>1969</v>
      </c>
      <c r="O25" s="56" t="s">
        <v>2033</v>
      </c>
      <c r="P25" s="58" t="s">
        <v>2008</v>
      </c>
    </row>
    <row r="26" spans="8:19" ht="45" customHeight="1" x14ac:dyDescent="0.15">
      <c r="H26" s="8" t="s">
        <v>27</v>
      </c>
      <c r="I26" s="8" t="s">
        <v>1953</v>
      </c>
      <c r="J26" s="8" t="s">
        <v>2337</v>
      </c>
      <c r="K26" s="8" t="s">
        <v>2114</v>
      </c>
      <c r="L26" s="56" t="s">
        <v>2113</v>
      </c>
      <c r="M26" s="67" t="s">
        <v>2115</v>
      </c>
      <c r="N26" s="56" t="s">
        <v>2116</v>
      </c>
      <c r="O26" s="56" t="s">
        <v>2117</v>
      </c>
      <c r="P26" s="58" t="s">
        <v>2007</v>
      </c>
    </row>
    <row r="27" spans="8:19" ht="29.25" customHeight="1" x14ac:dyDescent="0.15">
      <c r="H27" s="8" t="s">
        <v>32</v>
      </c>
      <c r="I27" s="8" t="s">
        <v>1930</v>
      </c>
      <c r="J27" s="8" t="s">
        <v>2337</v>
      </c>
      <c r="K27" s="8" t="s">
        <v>2092</v>
      </c>
      <c r="L27" s="56" t="s">
        <v>2119</v>
      </c>
      <c r="M27" s="56" t="s">
        <v>2121</v>
      </c>
      <c r="N27" s="56" t="s">
        <v>2118</v>
      </c>
      <c r="O27" s="56" t="s">
        <v>2038</v>
      </c>
      <c r="P27" s="58" t="s">
        <v>2009</v>
      </c>
    </row>
    <row r="28" spans="8:19" ht="27" x14ac:dyDescent="0.15">
      <c r="H28" s="8" t="s">
        <v>57</v>
      </c>
      <c r="I28" s="8" t="s">
        <v>1953</v>
      </c>
      <c r="J28" s="8" t="s">
        <v>2337</v>
      </c>
      <c r="K28" s="8"/>
      <c r="L28" s="56" t="s">
        <v>2122</v>
      </c>
      <c r="M28" s="56" t="s">
        <v>2126</v>
      </c>
      <c r="N28" s="55" t="s">
        <v>1970</v>
      </c>
      <c r="O28" s="67" t="s">
        <v>2125</v>
      </c>
      <c r="P28" s="58" t="s">
        <v>2010</v>
      </c>
    </row>
    <row r="29" spans="8:19" ht="27" customHeight="1" x14ac:dyDescent="0.15">
      <c r="H29" s="8" t="s">
        <v>60</v>
      </c>
      <c r="I29" s="8" t="s">
        <v>1972</v>
      </c>
      <c r="J29" s="8" t="s">
        <v>2333</v>
      </c>
      <c r="K29" s="8"/>
      <c r="L29" s="56" t="s">
        <v>1973</v>
      </c>
      <c r="M29" s="56" t="s">
        <v>2127</v>
      </c>
      <c r="N29" s="56" t="s">
        <v>2128</v>
      </c>
      <c r="O29" s="67" t="s">
        <v>2037</v>
      </c>
      <c r="P29" s="58" t="s">
        <v>2011</v>
      </c>
    </row>
    <row r="30" spans="8:19" ht="30.75" customHeight="1" x14ac:dyDescent="0.15">
      <c r="H30" s="8" t="s">
        <v>28</v>
      </c>
      <c r="I30" s="8" t="s">
        <v>2252</v>
      </c>
      <c r="J30" s="8" t="s">
        <v>2335</v>
      </c>
      <c r="K30" s="8" t="s">
        <v>2129</v>
      </c>
      <c r="L30" s="56" t="s">
        <v>1974</v>
      </c>
      <c r="M30" s="56" t="s">
        <v>2034</v>
      </c>
      <c r="N30" s="56" t="s">
        <v>2036</v>
      </c>
      <c r="O30" s="56" t="s">
        <v>2035</v>
      </c>
      <c r="P30" s="58" t="s">
        <v>2012</v>
      </c>
    </row>
    <row r="31" spans="8:19" ht="27" x14ac:dyDescent="0.15">
      <c r="H31" s="8" t="s">
        <v>33</v>
      </c>
      <c r="I31" s="8" t="s">
        <v>1959</v>
      </c>
      <c r="J31" s="8" t="s">
        <v>2337</v>
      </c>
      <c r="K31" s="8" t="s">
        <v>2123</v>
      </c>
      <c r="L31" s="56" t="s">
        <v>1975</v>
      </c>
      <c r="M31" s="56" t="s">
        <v>2124</v>
      </c>
      <c r="N31" s="67" t="s">
        <v>1976</v>
      </c>
      <c r="O31" s="56" t="s">
        <v>2038</v>
      </c>
      <c r="P31" s="58" t="s">
        <v>2013</v>
      </c>
    </row>
    <row r="32" spans="8:19" ht="26.25" customHeight="1" x14ac:dyDescent="0.15">
      <c r="H32" s="8" t="s">
        <v>29</v>
      </c>
      <c r="I32" s="8" t="s">
        <v>1930</v>
      </c>
      <c r="J32" s="8" t="s">
        <v>2337</v>
      </c>
      <c r="K32" s="8"/>
      <c r="L32" s="56" t="s">
        <v>2135</v>
      </c>
      <c r="M32" s="56" t="s">
        <v>2133</v>
      </c>
      <c r="N32" s="56" t="s">
        <v>2134</v>
      </c>
      <c r="O32" s="56" t="s">
        <v>2136</v>
      </c>
      <c r="P32" s="58" t="s">
        <v>2014</v>
      </c>
    </row>
    <row r="33" spans="8:26" ht="27" customHeight="1" x14ac:dyDescent="0.15">
      <c r="H33" s="8" t="s">
        <v>31</v>
      </c>
      <c r="I33" s="8" t="s">
        <v>1933</v>
      </c>
      <c r="J33" s="8" t="s">
        <v>2333</v>
      </c>
      <c r="K33" s="8" t="s">
        <v>2138</v>
      </c>
      <c r="L33" s="56" t="s">
        <v>2137</v>
      </c>
      <c r="M33" s="56" t="s">
        <v>1977</v>
      </c>
      <c r="N33" s="56" t="s">
        <v>2139</v>
      </c>
      <c r="O33" s="56" t="s">
        <v>2140</v>
      </c>
      <c r="P33" s="58" t="s">
        <v>2015</v>
      </c>
    </row>
    <row r="34" spans="8:26" ht="56.25" customHeight="1" x14ac:dyDescent="0.15">
      <c r="H34" s="8" t="s">
        <v>22</v>
      </c>
      <c r="I34" s="8" t="s">
        <v>1933</v>
      </c>
      <c r="J34" s="8" t="s">
        <v>2337</v>
      </c>
      <c r="K34" s="8" t="s">
        <v>2141</v>
      </c>
      <c r="L34" s="56" t="s">
        <v>2142</v>
      </c>
      <c r="M34" s="56" t="s">
        <v>2166</v>
      </c>
      <c r="N34" s="56" t="s">
        <v>1978</v>
      </c>
      <c r="O34" s="67" t="s">
        <v>2039</v>
      </c>
      <c r="P34" s="58" t="s">
        <v>2016</v>
      </c>
    </row>
    <row r="35" spans="8:26" ht="30" customHeight="1" x14ac:dyDescent="0.15">
      <c r="H35" s="8" t="s">
        <v>62</v>
      </c>
      <c r="I35" s="8" t="s">
        <v>1953</v>
      </c>
      <c r="J35" s="8" t="s">
        <v>2337</v>
      </c>
      <c r="K35" s="8"/>
      <c r="L35" s="56" t="s">
        <v>2143</v>
      </c>
      <c r="M35" s="56" t="s">
        <v>2145</v>
      </c>
      <c r="N35" s="56" t="s">
        <v>1980</v>
      </c>
      <c r="O35" s="56" t="s">
        <v>2146</v>
      </c>
      <c r="P35" s="58" t="s">
        <v>2173</v>
      </c>
    </row>
    <row r="36" spans="8:26" ht="28.5" customHeight="1" x14ac:dyDescent="0.15">
      <c r="H36" s="8" t="s">
        <v>58</v>
      </c>
      <c r="I36" s="8" t="s">
        <v>1953</v>
      </c>
      <c r="J36" s="8" t="s">
        <v>2336</v>
      </c>
      <c r="K36" s="8"/>
      <c r="L36" s="56" t="s">
        <v>2144</v>
      </c>
      <c r="M36" s="57" t="s">
        <v>1981</v>
      </c>
      <c r="N36" s="56" t="s">
        <v>1979</v>
      </c>
      <c r="O36" s="56" t="s">
        <v>2146</v>
      </c>
      <c r="P36" s="58" t="s">
        <v>2017</v>
      </c>
    </row>
    <row r="37" spans="8:26" ht="27" customHeight="1" x14ac:dyDescent="0.15">
      <c r="H37" s="8" t="s">
        <v>64</v>
      </c>
      <c r="I37" s="8" t="s">
        <v>1928</v>
      </c>
      <c r="J37" s="8" t="s">
        <v>85</v>
      </c>
      <c r="K37" s="8"/>
      <c r="L37" s="56" t="s">
        <v>2272</v>
      </c>
      <c r="M37" s="56" t="s">
        <v>2149</v>
      </c>
      <c r="N37" s="56" t="s">
        <v>2147</v>
      </c>
      <c r="O37" s="56" t="s">
        <v>2148</v>
      </c>
      <c r="P37" s="58" t="s">
        <v>2018</v>
      </c>
      <c r="Z37">
        <v>100</v>
      </c>
    </row>
    <row r="38" spans="8:26" ht="40.5" x14ac:dyDescent="0.15">
      <c r="H38" s="8" t="s">
        <v>63</v>
      </c>
      <c r="I38" s="8" t="s">
        <v>1928</v>
      </c>
      <c r="J38" s="8" t="s">
        <v>2332</v>
      </c>
      <c r="K38" s="8" t="s">
        <v>2150</v>
      </c>
      <c r="L38" s="56" t="s">
        <v>2151</v>
      </c>
      <c r="M38" s="56" t="s">
        <v>2065</v>
      </c>
      <c r="N38" s="56" t="s">
        <v>1982</v>
      </c>
      <c r="O38" s="56" t="s">
        <v>2040</v>
      </c>
      <c r="P38" s="58" t="s">
        <v>2019</v>
      </c>
    </row>
    <row r="39" spans="8:26" ht="27.75" customHeight="1" x14ac:dyDescent="0.15">
      <c r="H39" s="8" t="s">
        <v>1347</v>
      </c>
      <c r="I39" s="8" t="s">
        <v>2131</v>
      </c>
      <c r="J39" s="8" t="s">
        <v>2334</v>
      </c>
      <c r="K39" s="8"/>
      <c r="L39" s="56" t="s">
        <v>1983</v>
      </c>
      <c r="M39" s="56" t="s">
        <v>2152</v>
      </c>
      <c r="N39" s="56" t="s">
        <v>2153</v>
      </c>
      <c r="O39" s="56" t="s">
        <v>2158</v>
      </c>
      <c r="P39" s="58" t="s">
        <v>2020</v>
      </c>
    </row>
    <row r="40" spans="8:26" ht="28.5" customHeight="1" x14ac:dyDescent="0.15">
      <c r="H40" s="8" t="s">
        <v>14</v>
      </c>
      <c r="I40" s="8" t="s">
        <v>2131</v>
      </c>
      <c r="J40" s="8" t="s">
        <v>2334</v>
      </c>
      <c r="K40" s="8" t="s">
        <v>2154</v>
      </c>
      <c r="L40" s="56" t="s">
        <v>2155</v>
      </c>
      <c r="M40" s="56" t="s">
        <v>2169</v>
      </c>
      <c r="N40" s="67" t="s">
        <v>2132</v>
      </c>
      <c r="O40" s="56" t="s">
        <v>2041</v>
      </c>
      <c r="P40" s="58" t="s">
        <v>2172</v>
      </c>
    </row>
    <row r="41" spans="8:26" ht="25.5" customHeight="1" x14ac:dyDescent="0.15">
      <c r="H41" s="8" t="s">
        <v>17</v>
      </c>
      <c r="I41" s="8" t="s">
        <v>2130</v>
      </c>
      <c r="J41" s="8" t="s">
        <v>2333</v>
      </c>
      <c r="K41" s="8"/>
      <c r="L41" s="56" t="s">
        <v>1984</v>
      </c>
      <c r="M41" s="56" t="s">
        <v>2156</v>
      </c>
      <c r="N41" s="57" t="s">
        <v>2159</v>
      </c>
      <c r="O41" s="58" t="s">
        <v>2038</v>
      </c>
      <c r="P41" s="58" t="s">
        <v>2171</v>
      </c>
    </row>
    <row r="42" spans="8:26" ht="36" customHeight="1" x14ac:dyDescent="0.15">
      <c r="H42" s="12" t="s">
        <v>4</v>
      </c>
      <c r="I42" s="12" t="s">
        <v>1933</v>
      </c>
      <c r="J42" s="8" t="s">
        <v>2333</v>
      </c>
      <c r="K42" s="8" t="s">
        <v>2157</v>
      </c>
      <c r="L42" s="56" t="s">
        <v>2249</v>
      </c>
      <c r="M42" s="57" t="s">
        <v>2250</v>
      </c>
      <c r="N42" s="56" t="s">
        <v>2161</v>
      </c>
      <c r="O42" s="56" t="s">
        <v>2160</v>
      </c>
      <c r="P42" s="58" t="s">
        <v>2021</v>
      </c>
    </row>
    <row r="43" spans="8:26" ht="23.25" customHeight="1" x14ac:dyDescent="0.15">
      <c r="H43" s="8" t="s">
        <v>1351</v>
      </c>
      <c r="I43" s="8" t="s">
        <v>1933</v>
      </c>
      <c r="J43" s="8" t="s">
        <v>2333</v>
      </c>
      <c r="K43" s="8"/>
      <c r="L43" s="56" t="s">
        <v>2163</v>
      </c>
      <c r="M43" s="56" t="s">
        <v>2165</v>
      </c>
      <c r="N43" s="55" t="s">
        <v>1985</v>
      </c>
      <c r="O43" s="56" t="s">
        <v>2137</v>
      </c>
      <c r="P43" s="58" t="s">
        <v>2024</v>
      </c>
    </row>
    <row r="44" spans="8:26" ht="21.75" customHeight="1" x14ac:dyDescent="0.15">
      <c r="H44" s="8" t="s">
        <v>65</v>
      </c>
      <c r="I44" s="8" t="s">
        <v>1930</v>
      </c>
      <c r="J44" s="8" t="s">
        <v>2337</v>
      </c>
      <c r="K44" s="8"/>
      <c r="L44" s="56" t="s">
        <v>2265</v>
      </c>
      <c r="M44" s="56" t="s">
        <v>2022</v>
      </c>
      <c r="N44" s="56" t="s">
        <v>2023</v>
      </c>
      <c r="O44" s="67" t="s">
        <v>2042</v>
      </c>
      <c r="P44" s="58" t="s">
        <v>2016</v>
      </c>
    </row>
    <row r="45" spans="8:26" ht="33.75" customHeight="1" x14ac:dyDescent="0.15">
      <c r="H45" s="8" t="s">
        <v>1321</v>
      </c>
      <c r="I45" s="8" t="s">
        <v>1933</v>
      </c>
      <c r="J45" s="8" t="s">
        <v>2333</v>
      </c>
      <c r="K45" s="8"/>
      <c r="L45" s="56" t="s">
        <v>1986</v>
      </c>
      <c r="M45" s="55" t="s">
        <v>1987</v>
      </c>
      <c r="N45" s="56" t="s">
        <v>2137</v>
      </c>
      <c r="O45" s="56" t="s">
        <v>2162</v>
      </c>
      <c r="P45" s="58" t="s">
        <v>2025</v>
      </c>
    </row>
    <row r="46" spans="8:26" ht="27.75" customHeight="1" x14ac:dyDescent="0.15">
      <c r="H46" s="12" t="s">
        <v>2185</v>
      </c>
      <c r="I46" s="8" t="s">
        <v>2214</v>
      </c>
      <c r="J46" s="8"/>
      <c r="K46" s="8" t="s">
        <v>2186</v>
      </c>
      <c r="L46" s="8" t="s">
        <v>2187</v>
      </c>
      <c r="M46" s="8" t="s">
        <v>2188</v>
      </c>
      <c r="N46" s="8" t="s">
        <v>2189</v>
      </c>
      <c r="O46" s="67" t="s">
        <v>2190</v>
      </c>
      <c r="P46" s="58" t="s">
        <v>2191</v>
      </c>
    </row>
    <row r="47" spans="8:26" ht="29.25" customHeight="1" x14ac:dyDescent="0.15">
      <c r="H47" s="12" t="s">
        <v>2180</v>
      </c>
      <c r="I47" s="12" t="s">
        <v>1930</v>
      </c>
      <c r="J47" s="12"/>
      <c r="K47" s="12"/>
      <c r="L47" s="8" t="s">
        <v>2193</v>
      </c>
      <c r="M47" s="8" t="s">
        <v>2194</v>
      </c>
      <c r="N47" s="8" t="s">
        <v>2195</v>
      </c>
      <c r="O47" s="8" t="s">
        <v>2196</v>
      </c>
      <c r="P47" s="58" t="s">
        <v>2192</v>
      </c>
    </row>
    <row r="48" spans="8:26" s="67" customFormat="1" ht="42.75" customHeight="1" x14ac:dyDescent="0.15">
      <c r="H48" s="65" t="s">
        <v>2181</v>
      </c>
      <c r="I48" s="67" t="s">
        <v>2197</v>
      </c>
      <c r="J48" s="71"/>
      <c r="K48" s="67" t="s">
        <v>2205</v>
      </c>
      <c r="L48" s="67" t="s">
        <v>2201</v>
      </c>
      <c r="M48" s="67" t="s">
        <v>2202</v>
      </c>
      <c r="N48" s="67" t="s">
        <v>2203</v>
      </c>
      <c r="O48" s="67" t="s">
        <v>2209</v>
      </c>
      <c r="P48" s="67" t="s">
        <v>2204</v>
      </c>
    </row>
    <row r="49" spans="8:16" s="67" customFormat="1" ht="46.5" customHeight="1" x14ac:dyDescent="0.15">
      <c r="H49" s="67" t="s">
        <v>2206</v>
      </c>
      <c r="I49" s="67" t="s">
        <v>2197</v>
      </c>
      <c r="J49" s="71"/>
      <c r="K49" s="65"/>
      <c r="L49" s="67" t="s">
        <v>2210</v>
      </c>
      <c r="M49" s="67" t="s">
        <v>2208</v>
      </c>
      <c r="N49" s="67" t="s">
        <v>2211</v>
      </c>
      <c r="O49" s="67" t="s">
        <v>2212</v>
      </c>
      <c r="P49" s="67" t="s">
        <v>2207</v>
      </c>
    </row>
    <row r="50" spans="8:16" ht="27.75" customHeight="1" x14ac:dyDescent="0.15">
      <c r="H50" s="12" t="s">
        <v>2183</v>
      </c>
      <c r="I50" s="8" t="s">
        <v>2214</v>
      </c>
      <c r="J50" s="8"/>
      <c r="K50" s="8" t="s">
        <v>2216</v>
      </c>
      <c r="L50" s="8" t="s">
        <v>2220</v>
      </c>
      <c r="M50" s="8" t="s">
        <v>2218</v>
      </c>
      <c r="N50" s="8" t="s">
        <v>2219</v>
      </c>
      <c r="O50" s="8" t="s">
        <v>2217</v>
      </c>
      <c r="P50" s="58" t="s">
        <v>2226</v>
      </c>
    </row>
    <row r="51" spans="8:16" ht="27" customHeight="1" x14ac:dyDescent="0.15">
      <c r="H51" s="12" t="s">
        <v>2184</v>
      </c>
      <c r="I51" s="8" t="s">
        <v>2215</v>
      </c>
      <c r="J51" s="8"/>
      <c r="K51" s="12"/>
      <c r="L51" s="8" t="s">
        <v>2221</v>
      </c>
      <c r="M51" s="8" t="s">
        <v>2222</v>
      </c>
      <c r="N51" s="8" t="s">
        <v>2223</v>
      </c>
      <c r="O51" s="8" t="s">
        <v>2224</v>
      </c>
      <c r="P51" s="58" t="s">
        <v>2225</v>
      </c>
    </row>
    <row r="52" spans="8:16" ht="25.5" customHeight="1" x14ac:dyDescent="0.15"/>
  </sheetData>
  <phoneticPr fontId="5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11</vt:i4>
      </vt:variant>
      <vt:variant>
        <vt:lpstr>命名范围</vt:lpstr>
      </vt:variant>
      <vt:variant>
        <vt:i4>50</vt:i4>
      </vt:variant>
    </vt:vector>
  </HeadingPairs>
  <TitlesOfParts>
    <vt:vector size="61" baseType="lpstr">
      <vt:lpstr>名称表</vt:lpstr>
      <vt:lpstr>卡牌图鉴</vt:lpstr>
      <vt:lpstr>数值规划表</vt:lpstr>
      <vt:lpstr>产销规划表</vt:lpstr>
      <vt:lpstr>monster</vt:lpstr>
      <vt:lpstr>skill</vt:lpstr>
      <vt:lpstr>buff</vt:lpstr>
      <vt:lpstr>progress</vt:lpstr>
      <vt:lpstr>觉醒脑洞</vt:lpstr>
      <vt:lpstr>主角技能</vt:lpstr>
      <vt:lpstr>组队本设计</vt:lpstr>
      <vt:lpstr>monster!_FilterDatabase</vt:lpstr>
      <vt:lpstr>T攻击范围</vt:lpstr>
      <vt:lpstr>T攻击系数</vt:lpstr>
      <vt:lpstr>T血量系数</vt:lpstr>
      <vt:lpstr>兵种定位</vt:lpstr>
      <vt:lpstr>刺客攻击范围</vt:lpstr>
      <vt:lpstr>刺客攻击系数</vt:lpstr>
      <vt:lpstr>刺客血量系数</vt:lpstr>
      <vt:lpstr>攻击范围</vt:lpstr>
      <vt:lpstr>攻击范围ID</vt:lpstr>
      <vt:lpstr>攻击目标</vt:lpstr>
      <vt:lpstr>急速攻击系数</vt:lpstr>
      <vt:lpstr>急速血量系数</vt:lpstr>
      <vt:lpstr>急速移动速度</vt:lpstr>
      <vt:lpstr>空军攻击范围</vt:lpstr>
      <vt:lpstr>空军攻击系数</vt:lpstr>
      <vt:lpstr>空军血量系数</vt:lpstr>
      <vt:lpstr>空中堡垒攻击范围</vt:lpstr>
      <vt:lpstr>空中堡垒攻击系数</vt:lpstr>
      <vt:lpstr>空中堡垒血量系数</vt:lpstr>
      <vt:lpstr>快速攻击系数</vt:lpstr>
      <vt:lpstr>快速血量系数</vt:lpstr>
      <vt:lpstr>快速移动速度</vt:lpstr>
      <vt:lpstr>慢速攻击系数</vt:lpstr>
      <vt:lpstr>慢速血量系数</vt:lpstr>
      <vt:lpstr>慢速移动速度</vt:lpstr>
      <vt:lpstr>每级膨胀</vt:lpstr>
      <vt:lpstr>品质名称</vt:lpstr>
      <vt:lpstr>射手攻击范围</vt:lpstr>
      <vt:lpstr>射手攻击系数</vt:lpstr>
      <vt:lpstr>射手血量系数</vt:lpstr>
      <vt:lpstr>巫师攻击范围</vt:lpstr>
      <vt:lpstr>巫师攻击系数</vt:lpstr>
      <vt:lpstr>巫师血量系数</vt:lpstr>
      <vt:lpstr>血量调整</vt:lpstr>
      <vt:lpstr>寻敌范围</vt:lpstr>
      <vt:lpstr>寻敌范围值</vt:lpstr>
      <vt:lpstr>移动速度名称</vt:lpstr>
      <vt:lpstr>游侠攻击范围</vt:lpstr>
      <vt:lpstr>游侠攻击系数</vt:lpstr>
      <vt:lpstr>游侠血量系数</vt:lpstr>
      <vt:lpstr>战士攻击范围</vt:lpstr>
      <vt:lpstr>战士攻击系数</vt:lpstr>
      <vt:lpstr>战士血量系数</vt:lpstr>
      <vt:lpstr>治疗攻击范围</vt:lpstr>
      <vt:lpstr>治疗攻击系数</vt:lpstr>
      <vt:lpstr>治疗血量系数</vt:lpstr>
      <vt:lpstr>中速攻击系数</vt:lpstr>
      <vt:lpstr>中速血量系数</vt:lpstr>
      <vt:lpstr>中速移动速度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2006-09-16T00:00:00Z</dcterms:created>
  <dcterms:modified xsi:type="dcterms:W3CDTF">2017-06-20T11:21:20Z</dcterms:modified>
</cp:coreProperties>
</file>